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fbgov.sharepoint.com/sites/LICITAESDRFCPSPCAJUNSOR/Shared Documents/2023/Manutenção Predial - JUN e SOR/PCFP - CCT e Pesquisa de Preços/"/>
    </mc:Choice>
  </mc:AlternateContent>
  <xr:revisionPtr revIDLastSave="293" documentId="8_{22C6552F-6F66-461B-AE8B-A7024EB9CC4E}" xr6:coauthVersionLast="47" xr6:coauthVersionMax="47" xr10:uidLastSave="{85D77EBD-74F8-42BC-B39C-256E451372F3}"/>
  <bookViews>
    <workbookView xWindow="-108" yWindow="-108" windowWidth="23256" windowHeight="12576" tabRatio="500" activeTab="1" xr2:uid="{00000000-000D-0000-FFFF-FFFF00000000}"/>
  </bookViews>
  <sheets>
    <sheet name="DADOS INICIAIS" sheetId="1" r:id="rId1"/>
    <sheet name="OFICIAL" sheetId="2" r:id="rId2"/>
    <sheet name=" Enc e Beneficios Oficial" sheetId="3" state="hidden" r:id="rId3"/>
    <sheet name="Hora extra Oficial" sheetId="4" state="hidden" r:id="rId4"/>
    <sheet name="AUXILIAR" sheetId="5" r:id="rId5"/>
    <sheet name=" Enc e Beneficios Ajudante" sheetId="6" state="hidden" r:id="rId6"/>
    <sheet name="Hora extra Ajudante" sheetId="7" state="hidden" r:id="rId7"/>
    <sheet name="Equipamentos" sheetId="8" r:id="rId8"/>
    <sheet name="ENG. CIVIL" sheetId="9" state="hidden" r:id="rId9"/>
    <sheet name="ENG. ELETRICISTA" sheetId="10" state="hidden" r:id="rId10"/>
    <sheet name="PEDREIRO" sheetId="11" state="hidden" r:id="rId11"/>
    <sheet name="PINTOR" sheetId="12" state="hidden" r:id="rId12"/>
    <sheet name="RESUMO E PROPOSTA" sheetId="13" r:id="rId13"/>
  </sheets>
  <definedNames>
    <definedName name="__xlnm_Print_Area" localSheetId="5">NA()</definedName>
    <definedName name="__xlnm_Print_Area" localSheetId="2">NA()</definedName>
    <definedName name="__xlnm_Print_Area" localSheetId="4">NA()</definedName>
    <definedName name="__xlnm_Print_Area" localSheetId="8">NA()</definedName>
    <definedName name="__xlnm_Print_Area" localSheetId="9">NA()</definedName>
    <definedName name="__xlnm_Print_Area" localSheetId="1">NA()</definedName>
    <definedName name="__xlnm_Print_Area" localSheetId="10">NA()</definedName>
    <definedName name="__xlnm_Print_Area" localSheetId="11">NA()</definedName>
    <definedName name="__xlnm_Print_Area_1" localSheetId="5">NA()</definedName>
    <definedName name="__xlnm_Print_Area_1" localSheetId="2">NA()</definedName>
    <definedName name="__xlnm_Print_Area_1" localSheetId="4">NA()</definedName>
    <definedName name="__xlnm_Print_Area_1" localSheetId="8">NA()</definedName>
    <definedName name="__xlnm_Print_Area_1" localSheetId="9">NA()</definedName>
    <definedName name="__xlnm_Print_Area_1" localSheetId="1">NA()</definedName>
    <definedName name="__xlnm_Print_Area_1" localSheetId="10">NA()</definedName>
    <definedName name="__xlnm_Print_Area_1" localSheetId="11">NA()</definedName>
    <definedName name="__xlnm_Print_Area_1_1" localSheetId="5">NA()</definedName>
    <definedName name="__xlnm_Print_Area_1_1" localSheetId="2">NA()</definedName>
    <definedName name="__xlnm_Print_Area_1_1" localSheetId="4">'Hora extra Oficial'!$B$1:$L$140</definedName>
    <definedName name="__xlnm_Print_Area_1_1" localSheetId="8">'Hora extra Ajudante'!$B$1:$L$137</definedName>
    <definedName name="__xlnm_Print_Area_1_1" localSheetId="9">' Enc e Beneficios Ajudante'!$B$1:$L$137</definedName>
    <definedName name="__xlnm_Print_Area_1_1" localSheetId="1">Equipamentos!$B$1:$L$125</definedName>
    <definedName name="__xlnm_Print_Area_1_1" localSheetId="10">AUXILIAR!$B$1:$L$130</definedName>
    <definedName name="__xlnm_Print_Area_1_1" localSheetId="11">'Hora extra Oficial'!$B$1:$L$137</definedName>
    <definedName name="Excel_BuiltIn_Print_Area_2">"$#REF!.$A$1:$J$73"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2" i="5" l="1"/>
  <c r="L71" i="5"/>
  <c r="L70" i="5"/>
  <c r="L69" i="5"/>
  <c r="L68" i="5"/>
  <c r="L67" i="5"/>
  <c r="L66" i="5"/>
  <c r="E128" i="4" l="1"/>
  <c r="I128" i="4"/>
  <c r="K82" i="2"/>
  <c r="L82" i="2" l="1"/>
  <c r="L71" i="2" l="1"/>
  <c r="L69" i="2"/>
  <c r="K76" i="2" l="1"/>
  <c r="K77" i="2"/>
  <c r="K78" i="2"/>
  <c r="K79" i="2"/>
  <c r="K80" i="2"/>
  <c r="K81" i="2"/>
  <c r="K83" i="2" l="1"/>
  <c r="K32" i="5" l="1"/>
  <c r="K31" i="5"/>
  <c r="K33" i="5" s="1"/>
  <c r="K31" i="2"/>
  <c r="K33" i="2" s="1"/>
  <c r="K32" i="2"/>
  <c r="E119" i="1" l="1"/>
  <c r="L20" i="5"/>
  <c r="E32" i="3" l="1"/>
  <c r="H32" i="3" s="1"/>
  <c r="D7" i="3"/>
  <c r="E4" i="2"/>
  <c r="H56" i="1" l="1"/>
  <c r="J37" i="1" l="1"/>
  <c r="K37" i="1"/>
  <c r="L37" i="1"/>
  <c r="M37" i="1"/>
  <c r="C24" i="13"/>
  <c r="C23" i="13"/>
  <c r="C22" i="13"/>
  <c r="C21" i="13"/>
  <c r="E130" i="1"/>
  <c r="I64" i="1"/>
  <c r="J64" i="1"/>
  <c r="K64" i="1"/>
  <c r="L64" i="1"/>
  <c r="M64" i="1"/>
  <c r="H64" i="1"/>
  <c r="H143" i="1" l="1"/>
  <c r="H15" i="13" s="1"/>
  <c r="H16" i="13" s="1"/>
  <c r="E136" i="1"/>
  <c r="E137" i="1" s="1"/>
  <c r="I2" i="6"/>
  <c r="D7" i="6"/>
  <c r="F10" i="6"/>
  <c r="D13" i="6"/>
  <c r="F13" i="6"/>
  <c r="E16" i="6"/>
  <c r="E18" i="6"/>
  <c r="G18" i="6"/>
  <c r="A20" i="6"/>
  <c r="A23" i="6"/>
  <c r="E28" i="6"/>
  <c r="G28" i="6"/>
  <c r="E29" i="6"/>
  <c r="G29" i="6"/>
  <c r="E30" i="6"/>
  <c r="G30" i="6"/>
  <c r="E31" i="6"/>
  <c r="G31" i="6"/>
  <c r="E32" i="6"/>
  <c r="G32" i="6"/>
  <c r="E33" i="6"/>
  <c r="G33" i="6"/>
  <c r="E34" i="6"/>
  <c r="G34" i="6"/>
  <c r="E35" i="6"/>
  <c r="G35" i="6"/>
  <c r="E36" i="6"/>
  <c r="G36" i="6"/>
  <c r="E37" i="6"/>
  <c r="G37" i="6"/>
  <c r="E38" i="6"/>
  <c r="G38" i="6"/>
  <c r="E39" i="6"/>
  <c r="G39" i="6"/>
  <c r="E40" i="6"/>
  <c r="G40" i="6"/>
  <c r="E41" i="6"/>
  <c r="G41" i="6"/>
  <c r="F10" i="3"/>
  <c r="D13" i="3"/>
  <c r="F13" i="3"/>
  <c r="E16" i="3"/>
  <c r="E18" i="3"/>
  <c r="G18" i="3"/>
  <c r="A20" i="3"/>
  <c r="A23" i="3"/>
  <c r="E28" i="3"/>
  <c r="G28" i="3"/>
  <c r="E29" i="3"/>
  <c r="G29" i="3"/>
  <c r="E30" i="3"/>
  <c r="G30" i="3"/>
  <c r="E31" i="3"/>
  <c r="G31" i="3"/>
  <c r="E33" i="3"/>
  <c r="G33" i="3"/>
  <c r="E34" i="3"/>
  <c r="G34" i="3"/>
  <c r="E35" i="3"/>
  <c r="G35" i="3"/>
  <c r="E36" i="3"/>
  <c r="G36" i="3"/>
  <c r="E37" i="3"/>
  <c r="G37" i="3"/>
  <c r="E38" i="3"/>
  <c r="G38" i="3"/>
  <c r="E39" i="3"/>
  <c r="G39" i="3"/>
  <c r="E40" i="3"/>
  <c r="G40" i="3"/>
  <c r="E41" i="3"/>
  <c r="G41" i="3"/>
  <c r="E42" i="3"/>
  <c r="G42" i="3"/>
  <c r="E2" i="5"/>
  <c r="E3" i="5"/>
  <c r="E4" i="5"/>
  <c r="I4" i="5"/>
  <c r="E5" i="5"/>
  <c r="G7" i="5"/>
  <c r="G8" i="5"/>
  <c r="L14" i="5"/>
  <c r="L15" i="5"/>
  <c r="L24" i="5" s="1"/>
  <c r="B124" i="5" s="1"/>
  <c r="L16" i="5"/>
  <c r="L17" i="5"/>
  <c r="L22" i="5"/>
  <c r="K21" i="5"/>
  <c r="G43" i="5"/>
  <c r="I43" i="5"/>
  <c r="C54" i="5"/>
  <c r="C55" i="5"/>
  <c r="K76" i="5"/>
  <c r="K77" i="5"/>
  <c r="K78" i="5"/>
  <c r="K79" i="5"/>
  <c r="K80" i="5"/>
  <c r="K81" i="5"/>
  <c r="L88" i="5"/>
  <c r="L92" i="5" s="1"/>
  <c r="K112" i="5"/>
  <c r="K113" i="5"/>
  <c r="J115" i="5"/>
  <c r="J116" i="5"/>
  <c r="J117" i="5"/>
  <c r="K124" i="5"/>
  <c r="H23" i="1"/>
  <c r="I23" i="1"/>
  <c r="J23" i="1"/>
  <c r="K23" i="1"/>
  <c r="L23" i="1"/>
  <c r="M23" i="1"/>
  <c r="H26" i="1"/>
  <c r="I26" i="1"/>
  <c r="M26" i="1" s="1"/>
  <c r="J26" i="1"/>
  <c r="K26" i="1"/>
  <c r="H27" i="1"/>
  <c r="H13" i="3" s="1"/>
  <c r="I27" i="1"/>
  <c r="H13" i="6" s="1"/>
  <c r="J27" i="1"/>
  <c r="K27" i="1"/>
  <c r="L27" i="1"/>
  <c r="M27" i="1"/>
  <c r="H28" i="1"/>
  <c r="L53" i="2" s="1"/>
  <c r="I28" i="1"/>
  <c r="L53" i="5" s="1"/>
  <c r="J28" i="1"/>
  <c r="L55" i="9" s="1"/>
  <c r="K28" i="1"/>
  <c r="L55" i="10" s="1"/>
  <c r="L28" i="1"/>
  <c r="L55" i="11" s="1"/>
  <c r="M28" i="1"/>
  <c r="L55" i="12" s="1"/>
  <c r="J31" i="1"/>
  <c r="L51" i="9" s="1"/>
  <c r="K31" i="1"/>
  <c r="L51" i="10" s="1"/>
  <c r="L31" i="1"/>
  <c r="L51" i="11" s="1"/>
  <c r="M31" i="1"/>
  <c r="L51" i="12" s="1"/>
  <c r="F33" i="1"/>
  <c r="H34" i="1"/>
  <c r="L50" i="2" s="1"/>
  <c r="I34" i="1"/>
  <c r="L50" i="5" s="1"/>
  <c r="J34" i="1"/>
  <c r="L52" i="9" s="1"/>
  <c r="K34" i="1"/>
  <c r="L52" i="10" s="1"/>
  <c r="L34" i="1"/>
  <c r="L52" i="11" s="1"/>
  <c r="M34" i="1"/>
  <c r="L52" i="12" s="1"/>
  <c r="F39" i="1"/>
  <c r="H40" i="1"/>
  <c r="I40" i="1"/>
  <c r="J40" i="1"/>
  <c r="L54" i="9" s="1"/>
  <c r="K40" i="1"/>
  <c r="L54" i="10" s="1"/>
  <c r="L40" i="1"/>
  <c r="L54" i="11" s="1"/>
  <c r="M40" i="1"/>
  <c r="L54" i="12" s="1"/>
  <c r="H43" i="1"/>
  <c r="F21" i="3" s="1"/>
  <c r="H21" i="3" s="1"/>
  <c r="I43" i="1"/>
  <c r="J43" i="1"/>
  <c r="K43" i="1"/>
  <c r="L43" i="1"/>
  <c r="M43" i="1"/>
  <c r="H46" i="1"/>
  <c r="I46" i="1"/>
  <c r="J46" i="1"/>
  <c r="L56" i="9" s="1"/>
  <c r="K46" i="1"/>
  <c r="L56" i="10" s="1"/>
  <c r="L46" i="1"/>
  <c r="L56" i="11" s="1"/>
  <c r="M46" i="1"/>
  <c r="L56" i="12" s="1"/>
  <c r="H49" i="1"/>
  <c r="L55" i="2" s="1"/>
  <c r="I49" i="1"/>
  <c r="J49" i="1"/>
  <c r="L57" i="9" s="1"/>
  <c r="K49" i="1"/>
  <c r="L57" i="10" s="1"/>
  <c r="L49" i="1"/>
  <c r="L57" i="11" s="1"/>
  <c r="M49" i="1"/>
  <c r="L57" i="12" s="1"/>
  <c r="H54" i="1"/>
  <c r="I54" i="1"/>
  <c r="J54" i="1"/>
  <c r="K54" i="1"/>
  <c r="L54" i="1"/>
  <c r="M54" i="1"/>
  <c r="I56" i="1"/>
  <c r="J56" i="1"/>
  <c r="K56" i="1"/>
  <c r="L56" i="1"/>
  <c r="M56" i="1"/>
  <c r="H58" i="1"/>
  <c r="I58" i="1"/>
  <c r="J58" i="1"/>
  <c r="K58" i="1"/>
  <c r="L58" i="1"/>
  <c r="M58" i="1"/>
  <c r="H60" i="1"/>
  <c r="I60" i="1"/>
  <c r="J60" i="1"/>
  <c r="K60" i="1"/>
  <c r="L60" i="1"/>
  <c r="M60" i="1"/>
  <c r="H62" i="1"/>
  <c r="I62" i="1"/>
  <c r="J62" i="1"/>
  <c r="K62" i="1"/>
  <c r="L62" i="1"/>
  <c r="M62" i="1"/>
  <c r="H66" i="1"/>
  <c r="I66" i="1"/>
  <c r="J66" i="1"/>
  <c r="K66" i="1"/>
  <c r="L66" i="1"/>
  <c r="M66" i="1"/>
  <c r="H68" i="1"/>
  <c r="I68" i="1"/>
  <c r="J68" i="1"/>
  <c r="K68" i="1"/>
  <c r="L68" i="1"/>
  <c r="M68" i="1"/>
  <c r="H70" i="1"/>
  <c r="I70" i="1"/>
  <c r="J70" i="1"/>
  <c r="K70" i="1"/>
  <c r="L70" i="1"/>
  <c r="M70" i="1"/>
  <c r="H72" i="1"/>
  <c r="I72" i="1"/>
  <c r="J72" i="1"/>
  <c r="K72" i="1"/>
  <c r="L72" i="1"/>
  <c r="M72" i="1"/>
  <c r="H74" i="1"/>
  <c r="I74" i="1"/>
  <c r="J74" i="1"/>
  <c r="K74" i="1"/>
  <c r="L74" i="1"/>
  <c r="M74" i="1"/>
  <c r="H76" i="1"/>
  <c r="I76" i="1"/>
  <c r="J76" i="1"/>
  <c r="K76" i="1"/>
  <c r="L76" i="1"/>
  <c r="M76" i="1"/>
  <c r="H78" i="1"/>
  <c r="I78" i="1"/>
  <c r="J78" i="1"/>
  <c r="K78" i="1"/>
  <c r="L78" i="1"/>
  <c r="M78" i="1"/>
  <c r="H80" i="1"/>
  <c r="I80" i="1"/>
  <c r="J80" i="1"/>
  <c r="K80" i="1"/>
  <c r="L80" i="1"/>
  <c r="M80" i="1"/>
  <c r="H82" i="1"/>
  <c r="I82" i="1"/>
  <c r="J82" i="1"/>
  <c r="K82" i="1"/>
  <c r="L82" i="1"/>
  <c r="M82" i="1"/>
  <c r="H84" i="1"/>
  <c r="I84" i="1"/>
  <c r="J84" i="1"/>
  <c r="K84" i="1"/>
  <c r="L84" i="1"/>
  <c r="M84" i="1"/>
  <c r="J91" i="1"/>
  <c r="G44" i="13" s="1"/>
  <c r="E122" i="1"/>
  <c r="E125" i="1"/>
  <c r="E134" i="1"/>
  <c r="E2" i="9"/>
  <c r="E3" i="9"/>
  <c r="E4" i="9"/>
  <c r="I4" i="9"/>
  <c r="E6" i="9"/>
  <c r="G8" i="9"/>
  <c r="L9" i="9"/>
  <c r="L15" i="9"/>
  <c r="L16" i="9"/>
  <c r="L26" i="9" s="1"/>
  <c r="L17" i="9"/>
  <c r="L18" i="9"/>
  <c r="L21" i="9"/>
  <c r="K22" i="9"/>
  <c r="G46" i="9"/>
  <c r="I46" i="9"/>
  <c r="C56" i="9"/>
  <c r="C57" i="9"/>
  <c r="I68" i="9"/>
  <c r="G80" i="9"/>
  <c r="J80" i="9"/>
  <c r="G81" i="9"/>
  <c r="J81" i="9"/>
  <c r="G82" i="9"/>
  <c r="J82" i="9"/>
  <c r="G83" i="9"/>
  <c r="J83" i="9"/>
  <c r="G84" i="9"/>
  <c r="J84" i="9"/>
  <c r="C85" i="9"/>
  <c r="G85" i="9"/>
  <c r="J85" i="9"/>
  <c r="K87" i="9"/>
  <c r="L92" i="9"/>
  <c r="L96" i="9"/>
  <c r="E102" i="9"/>
  <c r="L102" i="9"/>
  <c r="E103" i="9"/>
  <c r="K116" i="9"/>
  <c r="K117" i="9"/>
  <c r="J119" i="9"/>
  <c r="J120" i="9"/>
  <c r="J121" i="9"/>
  <c r="K129" i="9"/>
  <c r="E2" i="10"/>
  <c r="E3" i="10"/>
  <c r="E4" i="10"/>
  <c r="I4" i="10"/>
  <c r="E6" i="10"/>
  <c r="G8" i="10"/>
  <c r="L9" i="10"/>
  <c r="L15" i="10"/>
  <c r="L16" i="10"/>
  <c r="L26" i="10" s="1"/>
  <c r="L17" i="10"/>
  <c r="L18" i="10"/>
  <c r="L21" i="10"/>
  <c r="K22" i="10"/>
  <c r="G46" i="10"/>
  <c r="I46" i="10"/>
  <c r="C56" i="10"/>
  <c r="C57" i="10"/>
  <c r="I68" i="10"/>
  <c r="G80" i="10"/>
  <c r="J80" i="10"/>
  <c r="G81" i="10"/>
  <c r="J81" i="10"/>
  <c r="G82" i="10"/>
  <c r="J82" i="10"/>
  <c r="G83" i="10"/>
  <c r="J83" i="10"/>
  <c r="G84" i="10"/>
  <c r="J84" i="10"/>
  <c r="C85" i="10"/>
  <c r="G85" i="10"/>
  <c r="J85" i="10"/>
  <c r="K87" i="10"/>
  <c r="L92" i="10"/>
  <c r="L96" i="10"/>
  <c r="E102" i="10"/>
  <c r="L102" i="10"/>
  <c r="E103" i="10"/>
  <c r="K116" i="10"/>
  <c r="K117" i="10"/>
  <c r="J119" i="10"/>
  <c r="J120" i="10"/>
  <c r="J121" i="10"/>
  <c r="K129" i="10"/>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6" i="8"/>
  <c r="E67" i="8" s="1"/>
  <c r="E72" i="8"/>
  <c r="E73" i="8"/>
  <c r="E74" i="8"/>
  <c r="E75" i="8"/>
  <c r="E2" i="7"/>
  <c r="E3" i="7"/>
  <c r="E4" i="7"/>
  <c r="I4" i="7"/>
  <c r="E6" i="7"/>
  <c r="G8" i="7"/>
  <c r="L9" i="7"/>
  <c r="K71" i="7" s="1"/>
  <c r="K72" i="7" s="1"/>
  <c r="L15" i="7"/>
  <c r="L16" i="7"/>
  <c r="L17" i="7"/>
  <c r="L18" i="7"/>
  <c r="K23" i="7"/>
  <c r="L25" i="7"/>
  <c r="L26" i="7"/>
  <c r="B128" i="7" s="1"/>
  <c r="B129" i="7" s="1"/>
  <c r="L27" i="7"/>
  <c r="L28" i="7"/>
  <c r="G46" i="7"/>
  <c r="I46" i="7"/>
  <c r="M64" i="7"/>
  <c r="I68" i="7"/>
  <c r="K68" i="7" s="1"/>
  <c r="G80" i="7"/>
  <c r="J80" i="7"/>
  <c r="G81" i="7"/>
  <c r="J81" i="7"/>
  <c r="G82" i="7"/>
  <c r="J82" i="7"/>
  <c r="G83" i="7"/>
  <c r="J83" i="7"/>
  <c r="G84" i="7"/>
  <c r="J84" i="7"/>
  <c r="C85" i="7"/>
  <c r="G85" i="7"/>
  <c r="J85" i="7"/>
  <c r="K87" i="7"/>
  <c r="L96" i="7"/>
  <c r="M96" i="7"/>
  <c r="M112" i="7"/>
  <c r="K116" i="7"/>
  <c r="K117" i="7"/>
  <c r="J119" i="7"/>
  <c r="J120" i="7"/>
  <c r="J121" i="7"/>
  <c r="E2" i="4"/>
  <c r="E3" i="4"/>
  <c r="E4" i="4"/>
  <c r="I4" i="4"/>
  <c r="E6" i="4"/>
  <c r="G8" i="4"/>
  <c r="L9" i="4"/>
  <c r="K71" i="4" s="1"/>
  <c r="K72" i="4" s="1"/>
  <c r="L15" i="4"/>
  <c r="L16" i="4"/>
  <c r="L17" i="4"/>
  <c r="L18" i="4"/>
  <c r="K23" i="4"/>
  <c r="L25" i="4"/>
  <c r="L27" i="4"/>
  <c r="L28" i="4"/>
  <c r="G46" i="4"/>
  <c r="I46" i="4"/>
  <c r="M64" i="4"/>
  <c r="I68" i="4"/>
  <c r="K68" i="4" s="1"/>
  <c r="K70" i="4" s="1"/>
  <c r="G80" i="4"/>
  <c r="J80" i="4"/>
  <c r="G81" i="4"/>
  <c r="J81" i="4"/>
  <c r="G82" i="4"/>
  <c r="J82" i="4"/>
  <c r="G83" i="4"/>
  <c r="J83" i="4"/>
  <c r="G84" i="4"/>
  <c r="J84" i="4"/>
  <c r="C85" i="4"/>
  <c r="G85" i="4"/>
  <c r="J85" i="4"/>
  <c r="K87" i="4"/>
  <c r="L96" i="4"/>
  <c r="M96" i="4"/>
  <c r="M112" i="4"/>
  <c r="E2" i="2"/>
  <c r="E3" i="2"/>
  <c r="I4" i="2"/>
  <c r="E5" i="2"/>
  <c r="G7" i="2"/>
  <c r="G8" i="2"/>
  <c r="L14" i="2"/>
  <c r="I2" i="3" s="1"/>
  <c r="L15" i="2"/>
  <c r="L24" i="2" s="1"/>
  <c r="L26" i="4" s="1"/>
  <c r="L16" i="2"/>
  <c r="L17" i="2"/>
  <c r="L20" i="2"/>
  <c r="L22" i="2" s="1"/>
  <c r="K21" i="2"/>
  <c r="K22" i="7" s="1"/>
  <c r="G43" i="2"/>
  <c r="I43" i="2"/>
  <c r="C54" i="2"/>
  <c r="C55" i="2"/>
  <c r="L88" i="2"/>
  <c r="L92" i="2" s="1"/>
  <c r="K112" i="2"/>
  <c r="K116" i="4" s="1"/>
  <c r="K113" i="2"/>
  <c r="K117" i="4" s="1"/>
  <c r="J115" i="2"/>
  <c r="J119" i="4" s="1"/>
  <c r="J116" i="2"/>
  <c r="J117" i="2"/>
  <c r="J121" i="4" s="1"/>
  <c r="K125" i="2"/>
  <c r="E2" i="11"/>
  <c r="E3" i="11"/>
  <c r="E4" i="11"/>
  <c r="I4" i="11"/>
  <c r="E6" i="11"/>
  <c r="G8" i="11"/>
  <c r="L9" i="11"/>
  <c r="L15" i="11"/>
  <c r="L16" i="11"/>
  <c r="L26" i="11" s="1"/>
  <c r="L17" i="11"/>
  <c r="L18" i="11"/>
  <c r="L21" i="11"/>
  <c r="L23" i="11" s="1"/>
  <c r="K22" i="11"/>
  <c r="G46" i="11"/>
  <c r="I46" i="11"/>
  <c r="C56" i="11"/>
  <c r="C57" i="11"/>
  <c r="I68" i="11"/>
  <c r="G80" i="11"/>
  <c r="J80" i="11"/>
  <c r="G81" i="11"/>
  <c r="J81" i="11"/>
  <c r="G82" i="11"/>
  <c r="J82" i="11"/>
  <c r="G83" i="11"/>
  <c r="J83" i="11"/>
  <c r="G84" i="11"/>
  <c r="J84" i="11"/>
  <c r="C85" i="11"/>
  <c r="G85" i="11"/>
  <c r="J85" i="11"/>
  <c r="K87" i="11"/>
  <c r="L92" i="11"/>
  <c r="L96" i="11"/>
  <c r="E102" i="11"/>
  <c r="L102" i="11"/>
  <c r="E103" i="11"/>
  <c r="K116" i="11"/>
  <c r="K117" i="11"/>
  <c r="J119" i="11"/>
  <c r="J120" i="11"/>
  <c r="J121" i="11"/>
  <c r="B129" i="11"/>
  <c r="K129" i="11"/>
  <c r="E2" i="12"/>
  <c r="E3" i="12"/>
  <c r="E4" i="12"/>
  <c r="I4" i="12"/>
  <c r="E6" i="12"/>
  <c r="G8" i="12"/>
  <c r="L9" i="12"/>
  <c r="L15" i="12"/>
  <c r="L16" i="12"/>
  <c r="L26" i="12" s="1"/>
  <c r="L17" i="12"/>
  <c r="L18" i="12"/>
  <c r="L21" i="12"/>
  <c r="L23" i="12" s="1"/>
  <c r="K22" i="12"/>
  <c r="G46" i="12"/>
  <c r="I46" i="12"/>
  <c r="C56" i="12"/>
  <c r="C57" i="12"/>
  <c r="I68" i="12"/>
  <c r="G80" i="12"/>
  <c r="J80" i="12"/>
  <c r="G81" i="12"/>
  <c r="J81" i="12"/>
  <c r="G82" i="12"/>
  <c r="J82" i="12"/>
  <c r="G83" i="12"/>
  <c r="J83" i="12"/>
  <c r="G84" i="12"/>
  <c r="J84" i="12"/>
  <c r="C85" i="12"/>
  <c r="G85" i="12"/>
  <c r="J85" i="12"/>
  <c r="K87" i="12"/>
  <c r="L92" i="12"/>
  <c r="L96" i="12"/>
  <c r="E102" i="12"/>
  <c r="L102" i="12"/>
  <c r="E103" i="12"/>
  <c r="K116" i="12"/>
  <c r="K117" i="12"/>
  <c r="J119" i="12"/>
  <c r="J120" i="12"/>
  <c r="J121" i="12"/>
  <c r="B129" i="12"/>
  <c r="K129" i="12"/>
  <c r="B5" i="13"/>
  <c r="B6" i="13"/>
  <c r="B21" i="13"/>
  <c r="B22" i="13"/>
  <c r="B23" i="13"/>
  <c r="B24" i="13"/>
  <c r="E29" i="13"/>
  <c r="E30" i="13"/>
  <c r="E31" i="13"/>
  <c r="E32" i="13"/>
  <c r="E39" i="13"/>
  <c r="E44" i="13"/>
  <c r="K85" i="1" l="1"/>
  <c r="L100" i="10" s="1"/>
  <c r="H29" i="6"/>
  <c r="I85" i="1"/>
  <c r="L96" i="5" s="1"/>
  <c r="F16" i="6"/>
  <c r="I16" i="6" s="1"/>
  <c r="L52" i="5"/>
  <c r="H41" i="6"/>
  <c r="F21" i="6"/>
  <c r="H21" i="6" s="1"/>
  <c r="L54" i="5"/>
  <c r="F16" i="3"/>
  <c r="I16" i="3" s="1"/>
  <c r="L52" i="2"/>
  <c r="J85" i="1"/>
  <c r="L100" i="9" s="1"/>
  <c r="F24" i="3"/>
  <c r="H24" i="3" s="1"/>
  <c r="L54" i="2"/>
  <c r="H85" i="1"/>
  <c r="L96" i="2" s="1"/>
  <c r="F24" i="6"/>
  <c r="H24" i="6" s="1"/>
  <c r="L55" i="5"/>
  <c r="L85" i="1"/>
  <c r="L100" i="11" s="1"/>
  <c r="M85" i="1"/>
  <c r="L100" i="12" s="1"/>
  <c r="K69" i="7"/>
  <c r="K70" i="7"/>
  <c r="E64" i="8"/>
  <c r="K69" i="4"/>
  <c r="L26" i="1"/>
  <c r="L24" i="1" s="1"/>
  <c r="L50" i="11" s="1"/>
  <c r="H24" i="1"/>
  <c r="L48" i="2" s="1"/>
  <c r="L21" i="7"/>
  <c r="L23" i="7" s="1"/>
  <c r="F7" i="6"/>
  <c r="I7" i="6" s="1"/>
  <c r="H31" i="1"/>
  <c r="L49" i="2" s="1"/>
  <c r="L53" i="12"/>
  <c r="I37" i="1"/>
  <c r="L51" i="5" s="1"/>
  <c r="H38" i="6"/>
  <c r="H30" i="3"/>
  <c r="H32" i="6"/>
  <c r="H28" i="6"/>
  <c r="K46" i="9"/>
  <c r="K39" i="9" s="1"/>
  <c r="E76" i="8"/>
  <c r="K43" i="5"/>
  <c r="K45" i="5" s="1"/>
  <c r="K61" i="5" s="1"/>
  <c r="L21" i="5"/>
  <c r="L27" i="5" s="1"/>
  <c r="H37" i="3"/>
  <c r="J24" i="1"/>
  <c r="L50" i="9" s="1"/>
  <c r="K118" i="7"/>
  <c r="H34" i="3"/>
  <c r="K118" i="12"/>
  <c r="L123" i="12" s="1"/>
  <c r="E135" i="1"/>
  <c r="G13" i="3"/>
  <c r="I12" i="3" s="1"/>
  <c r="H35" i="6"/>
  <c r="H31" i="6"/>
  <c r="E128" i="1"/>
  <c r="K46" i="7"/>
  <c r="K39" i="7" s="1"/>
  <c r="E123" i="1"/>
  <c r="E124" i="1" s="1"/>
  <c r="E133" i="1"/>
  <c r="K43" i="2"/>
  <c r="M24" i="1"/>
  <c r="L50" i="12" s="1"/>
  <c r="L59" i="12" s="1"/>
  <c r="L64" i="12" s="1"/>
  <c r="F7" i="3"/>
  <c r="I7" i="3" s="1"/>
  <c r="K46" i="11"/>
  <c r="K39" i="11" s="1"/>
  <c r="K91" i="11" s="1"/>
  <c r="H41" i="3"/>
  <c r="H33" i="3"/>
  <c r="H28" i="3"/>
  <c r="I31" i="1"/>
  <c r="L49" i="5" s="1"/>
  <c r="K46" i="12"/>
  <c r="K39" i="12" s="1"/>
  <c r="K24" i="1"/>
  <c r="L50" i="10" s="1"/>
  <c r="H34" i="6"/>
  <c r="I18" i="6"/>
  <c r="K46" i="4"/>
  <c r="K39" i="4" s="1"/>
  <c r="L22" i="10"/>
  <c r="L22" i="9"/>
  <c r="H40" i="3"/>
  <c r="H36" i="3"/>
  <c r="H31" i="3"/>
  <c r="H33" i="6"/>
  <c r="I18" i="3"/>
  <c r="H36" i="6"/>
  <c r="G13" i="6"/>
  <c r="I12" i="6" s="1"/>
  <c r="L22" i="11"/>
  <c r="L29" i="11" s="1"/>
  <c r="H30" i="6"/>
  <c r="L23" i="9"/>
  <c r="L21" i="2"/>
  <c r="L27" i="2" s="1"/>
  <c r="L53" i="11"/>
  <c r="L21" i="4"/>
  <c r="L23" i="4" s="1"/>
  <c r="L53" i="10"/>
  <c r="I24" i="1"/>
  <c r="L48" i="5" s="1"/>
  <c r="H39" i="3"/>
  <c r="H35" i="3"/>
  <c r="H37" i="6"/>
  <c r="H37" i="1"/>
  <c r="L51" i="2" s="1"/>
  <c r="K118" i="11"/>
  <c r="L123" i="11" s="1"/>
  <c r="K114" i="5"/>
  <c r="K118" i="9"/>
  <c r="L123" i="9" s="1"/>
  <c r="L23" i="10"/>
  <c r="L22" i="12"/>
  <c r="L29" i="12" s="1"/>
  <c r="H42" i="3"/>
  <c r="H38" i="3"/>
  <c r="H29" i="3"/>
  <c r="H40" i="6"/>
  <c r="L53" i="9"/>
  <c r="F33" i="13"/>
  <c r="H33" i="13" s="1"/>
  <c r="K46" i="10"/>
  <c r="H39" i="6"/>
  <c r="K114" i="2"/>
  <c r="L119" i="2" s="1"/>
  <c r="J120" i="4"/>
  <c r="K118" i="4" s="1"/>
  <c r="L56" i="4"/>
  <c r="L59" i="4" s="1"/>
  <c r="L64" i="4" s="1"/>
  <c r="L56" i="7"/>
  <c r="L59" i="7" s="1"/>
  <c r="L64" i="7" s="1"/>
  <c r="K118" i="10"/>
  <c r="G39" i="13"/>
  <c r="K22" i="4"/>
  <c r="E120" i="1"/>
  <c r="L61" i="5" l="1"/>
  <c r="L33" i="5"/>
  <c r="L36" i="5" s="1"/>
  <c r="K74" i="7"/>
  <c r="K45" i="2"/>
  <c r="K74" i="4"/>
  <c r="F11" i="13"/>
  <c r="L22" i="7"/>
  <c r="M29" i="7" s="1"/>
  <c r="M40" i="7" s="1"/>
  <c r="E78" i="8"/>
  <c r="L97" i="5" s="1"/>
  <c r="E139" i="1"/>
  <c r="G12" i="13" s="1"/>
  <c r="L59" i="10"/>
  <c r="L64" i="10" s="1"/>
  <c r="L41" i="5"/>
  <c r="L37" i="5"/>
  <c r="L79" i="5"/>
  <c r="K60" i="2"/>
  <c r="K87" i="5"/>
  <c r="K83" i="5"/>
  <c r="K35" i="7"/>
  <c r="K36" i="7" s="1"/>
  <c r="K62" i="7" s="1"/>
  <c r="L59" i="9"/>
  <c r="L64" i="9" s="1"/>
  <c r="L78" i="5"/>
  <c r="L31" i="5"/>
  <c r="L44" i="5"/>
  <c r="L76" i="5"/>
  <c r="L81" i="5"/>
  <c r="L29" i="10"/>
  <c r="L33" i="10" s="1"/>
  <c r="L46" i="12"/>
  <c r="K63" i="7"/>
  <c r="K35" i="11"/>
  <c r="K36" i="11" s="1"/>
  <c r="K62" i="11" s="1"/>
  <c r="L62" i="11" s="1"/>
  <c r="K35" i="4"/>
  <c r="K36" i="4" s="1"/>
  <c r="K62" i="4" s="1"/>
  <c r="L99" i="5"/>
  <c r="K63" i="4"/>
  <c r="L40" i="5"/>
  <c r="L80" i="5"/>
  <c r="L75" i="5"/>
  <c r="L32" i="5"/>
  <c r="L104" i="5"/>
  <c r="L22" i="4"/>
  <c r="L29" i="4" s="1"/>
  <c r="L82" i="4" s="1"/>
  <c r="L43" i="5"/>
  <c r="L42" i="5"/>
  <c r="L38" i="5"/>
  <c r="L39" i="5"/>
  <c r="L29" i="9"/>
  <c r="L46" i="9" s="1"/>
  <c r="K63" i="11"/>
  <c r="L63" i="11" s="1"/>
  <c r="H43" i="3"/>
  <c r="H42" i="6"/>
  <c r="L99" i="2"/>
  <c r="L103" i="9" s="1"/>
  <c r="L104" i="9" s="1"/>
  <c r="L112" i="9" s="1"/>
  <c r="L104" i="2"/>
  <c r="L80" i="2"/>
  <c r="L31" i="2"/>
  <c r="L77" i="2"/>
  <c r="L81" i="2"/>
  <c r="L76" i="2"/>
  <c r="L75" i="2"/>
  <c r="L32" i="2"/>
  <c r="L79" i="2"/>
  <c r="L78" i="2"/>
  <c r="L77" i="5"/>
  <c r="L59" i="11"/>
  <c r="L64" i="11" s="1"/>
  <c r="H10" i="3"/>
  <c r="L57" i="2" s="1"/>
  <c r="L62" i="2" s="1"/>
  <c r="H10" i="6"/>
  <c r="L57" i="5" s="1"/>
  <c r="L62" i="5" s="1"/>
  <c r="K39" i="10"/>
  <c r="L80" i="11"/>
  <c r="L74" i="11"/>
  <c r="L40" i="11"/>
  <c r="L86" i="11"/>
  <c r="L34" i="11"/>
  <c r="L81" i="11"/>
  <c r="L108" i="11"/>
  <c r="L73" i="11"/>
  <c r="L83" i="11"/>
  <c r="L79" i="11"/>
  <c r="L44" i="11"/>
  <c r="L45" i="11"/>
  <c r="L41" i="11"/>
  <c r="L46" i="11"/>
  <c r="L47" i="11"/>
  <c r="L68" i="11"/>
  <c r="L69" i="11"/>
  <c r="L82" i="11"/>
  <c r="L84" i="11"/>
  <c r="L43" i="11"/>
  <c r="L71" i="11"/>
  <c r="L70" i="11"/>
  <c r="L72" i="11"/>
  <c r="L42" i="11"/>
  <c r="L33" i="11"/>
  <c r="L85" i="11"/>
  <c r="K35" i="12"/>
  <c r="K36" i="12" s="1"/>
  <c r="K62" i="12" s="1"/>
  <c r="L62" i="12" s="1"/>
  <c r="K91" i="12"/>
  <c r="K63" i="12"/>
  <c r="L63" i="12" s="1"/>
  <c r="L84" i="12"/>
  <c r="L41" i="12"/>
  <c r="L85" i="12"/>
  <c r="L42" i="12"/>
  <c r="L68" i="12"/>
  <c r="L83" i="12"/>
  <c r="L86" i="12"/>
  <c r="L82" i="12"/>
  <c r="L34" i="12"/>
  <c r="L45" i="12"/>
  <c r="L40" i="12"/>
  <c r="L70" i="12"/>
  <c r="L47" i="12"/>
  <c r="L81" i="12"/>
  <c r="L33" i="12"/>
  <c r="L71" i="12"/>
  <c r="L74" i="12"/>
  <c r="L72" i="12"/>
  <c r="L108" i="12"/>
  <c r="L43" i="12"/>
  <c r="L69" i="12"/>
  <c r="L73" i="12"/>
  <c r="L79" i="12"/>
  <c r="L80" i="12"/>
  <c r="L44" i="12"/>
  <c r="K35" i="9"/>
  <c r="K36" i="9" s="1"/>
  <c r="K62" i="9" s="1"/>
  <c r="K63" i="9"/>
  <c r="K91" i="9"/>
  <c r="L123" i="10"/>
  <c r="L45" i="5" l="1"/>
  <c r="M79" i="7"/>
  <c r="K61" i="2"/>
  <c r="M73" i="7"/>
  <c r="M86" i="7"/>
  <c r="M80" i="7"/>
  <c r="M33" i="7"/>
  <c r="K87" i="2"/>
  <c r="L97" i="2"/>
  <c r="L100" i="2" s="1"/>
  <c r="L108" i="2" s="1"/>
  <c r="M71" i="7"/>
  <c r="M74" i="7"/>
  <c r="M45" i="7"/>
  <c r="M43" i="7"/>
  <c r="M44" i="7"/>
  <c r="M72" i="7"/>
  <c r="M85" i="7"/>
  <c r="M70" i="7"/>
  <c r="M42" i="7"/>
  <c r="M84" i="7"/>
  <c r="M41" i="7"/>
  <c r="M63" i="7"/>
  <c r="M34" i="7"/>
  <c r="M83" i="7"/>
  <c r="M68" i="7"/>
  <c r="M62" i="7"/>
  <c r="M108" i="7"/>
  <c r="M82" i="7"/>
  <c r="M81" i="7"/>
  <c r="M46" i="7"/>
  <c r="M47" i="7"/>
  <c r="M69" i="7"/>
  <c r="L29" i="7"/>
  <c r="L85" i="7" s="1"/>
  <c r="F12" i="13"/>
  <c r="H12" i="13" s="1"/>
  <c r="L108" i="10"/>
  <c r="L36" i="11"/>
  <c r="L45" i="9"/>
  <c r="L33" i="2"/>
  <c r="G11" i="13"/>
  <c r="H11" i="13" s="1"/>
  <c r="M35" i="7"/>
  <c r="L103" i="10"/>
  <c r="L104" i="10" s="1"/>
  <c r="L112" i="10" s="1"/>
  <c r="L35" i="11"/>
  <c r="L41" i="4"/>
  <c r="L100" i="5"/>
  <c r="L108" i="5" s="1"/>
  <c r="L86" i="4"/>
  <c r="L82" i="5"/>
  <c r="L83" i="5" s="1"/>
  <c r="L91" i="5" s="1"/>
  <c r="L93" i="5" s="1"/>
  <c r="L107" i="5" s="1"/>
  <c r="L36" i="4"/>
  <c r="L47" i="4"/>
  <c r="L84" i="4"/>
  <c r="L103" i="4"/>
  <c r="L80" i="4"/>
  <c r="L108" i="4"/>
  <c r="L34" i="4"/>
  <c r="L63" i="4"/>
  <c r="L45" i="4"/>
  <c r="L34" i="10"/>
  <c r="L40" i="9"/>
  <c r="L74" i="9"/>
  <c r="L62" i="4"/>
  <c r="L68" i="4"/>
  <c r="L40" i="4"/>
  <c r="L71" i="4"/>
  <c r="L84" i="10"/>
  <c r="L72" i="10"/>
  <c r="L73" i="9"/>
  <c r="L81" i="4"/>
  <c r="L44" i="4"/>
  <c r="L83" i="4"/>
  <c r="L85" i="4"/>
  <c r="L70" i="10"/>
  <c r="M29" i="4"/>
  <c r="M44" i="4" s="1"/>
  <c r="L79" i="4"/>
  <c r="L73" i="4"/>
  <c r="L43" i="4"/>
  <c r="L70" i="4"/>
  <c r="L80" i="10"/>
  <c r="L86" i="10"/>
  <c r="L74" i="4"/>
  <c r="L33" i="4"/>
  <c r="L42" i="4"/>
  <c r="L46" i="4"/>
  <c r="L102" i="4"/>
  <c r="L104" i="4" s="1"/>
  <c r="L112" i="4" s="1"/>
  <c r="L43" i="10"/>
  <c r="L42" i="9"/>
  <c r="L33" i="9"/>
  <c r="L72" i="4"/>
  <c r="L35" i="4"/>
  <c r="L69" i="4"/>
  <c r="L71" i="10"/>
  <c r="L68" i="10"/>
  <c r="L42" i="10"/>
  <c r="L74" i="10"/>
  <c r="L81" i="10"/>
  <c r="L69" i="10"/>
  <c r="L44" i="10"/>
  <c r="L41" i="10"/>
  <c r="L85" i="10"/>
  <c r="L40" i="10"/>
  <c r="L83" i="10"/>
  <c r="L82" i="10"/>
  <c r="L73" i="10"/>
  <c r="L79" i="10"/>
  <c r="L103" i="12"/>
  <c r="L104" i="12" s="1"/>
  <c r="L112" i="12" s="1"/>
  <c r="L46" i="10"/>
  <c r="L47" i="10"/>
  <c r="L45" i="10"/>
  <c r="L41" i="9"/>
  <c r="L34" i="9"/>
  <c r="L79" i="9"/>
  <c r="L43" i="9"/>
  <c r="L83" i="9"/>
  <c r="L68" i="9"/>
  <c r="L80" i="9"/>
  <c r="L72" i="9"/>
  <c r="L86" i="9"/>
  <c r="L85" i="9"/>
  <c r="L106" i="5"/>
  <c r="L63" i="9"/>
  <c r="L62" i="9"/>
  <c r="L81" i="9"/>
  <c r="L84" i="9"/>
  <c r="L47" i="9"/>
  <c r="L44" i="9"/>
  <c r="L82" i="9"/>
  <c r="L71" i="9"/>
  <c r="L70" i="9"/>
  <c r="L108" i="9"/>
  <c r="L69" i="9"/>
  <c r="L65" i="11"/>
  <c r="L109" i="11" s="1"/>
  <c r="L103" i="11"/>
  <c r="L104" i="11" s="1"/>
  <c r="L112" i="11" s="1"/>
  <c r="L35" i="12"/>
  <c r="L65" i="12"/>
  <c r="L109" i="12" s="1"/>
  <c r="L39" i="12"/>
  <c r="K63" i="10"/>
  <c r="L63" i="10" s="1"/>
  <c r="K35" i="10"/>
  <c r="K91" i="10"/>
  <c r="L87" i="12"/>
  <c r="L95" i="12" s="1"/>
  <c r="L97" i="12" s="1"/>
  <c r="L111" i="12" s="1"/>
  <c r="L39" i="11"/>
  <c r="L87" i="11"/>
  <c r="L95" i="11" s="1"/>
  <c r="L97" i="11" s="1"/>
  <c r="L111" i="11" s="1"/>
  <c r="L36" i="9"/>
  <c r="L36" i="12"/>
  <c r="L75" i="12"/>
  <c r="L110" i="12" s="1"/>
  <c r="K60" i="5"/>
  <c r="L60" i="5" s="1"/>
  <c r="L63" i="5" s="1"/>
  <c r="L105" i="5" s="1"/>
  <c r="L75" i="11"/>
  <c r="L110" i="11" s="1"/>
  <c r="L35" i="9"/>
  <c r="L68" i="2" l="1"/>
  <c r="L70" i="2" s="1"/>
  <c r="L66" i="2"/>
  <c r="L36" i="2"/>
  <c r="L42" i="2" s="1"/>
  <c r="L60" i="2"/>
  <c r="L83" i="2"/>
  <c r="L91" i="2" s="1"/>
  <c r="L93" i="2" s="1"/>
  <c r="L107" i="2" s="1"/>
  <c r="L37" i="2"/>
  <c r="L40" i="2"/>
  <c r="L80" i="7"/>
  <c r="L102" i="7"/>
  <c r="L83" i="7"/>
  <c r="L74" i="7"/>
  <c r="M87" i="7"/>
  <c r="M95" i="7" s="1"/>
  <c r="M97" i="7" s="1"/>
  <c r="M111" i="7" s="1"/>
  <c r="M75" i="7"/>
  <c r="M110" i="7" s="1"/>
  <c r="L82" i="7"/>
  <c r="L63" i="7"/>
  <c r="L70" i="7"/>
  <c r="L34" i="7"/>
  <c r="L62" i="7"/>
  <c r="L42" i="7"/>
  <c r="M39" i="7"/>
  <c r="L73" i="7"/>
  <c r="L36" i="7"/>
  <c r="L41" i="7"/>
  <c r="L108" i="7"/>
  <c r="L35" i="7"/>
  <c r="M36" i="7"/>
  <c r="L103" i="7"/>
  <c r="L72" i="7"/>
  <c r="L84" i="7"/>
  <c r="L71" i="7"/>
  <c r="L68" i="7"/>
  <c r="L47" i="7"/>
  <c r="L46" i="7"/>
  <c r="L81" i="7"/>
  <c r="M65" i="7"/>
  <c r="M109" i="7" s="1"/>
  <c r="L45" i="7"/>
  <c r="L43" i="7"/>
  <c r="L44" i="7"/>
  <c r="L86" i="7"/>
  <c r="L69" i="7"/>
  <c r="L40" i="7"/>
  <c r="L79" i="7"/>
  <c r="L33" i="7"/>
  <c r="L65" i="9"/>
  <c r="L109" i="9" s="1"/>
  <c r="M68" i="4"/>
  <c r="L39" i="10"/>
  <c r="M43" i="4"/>
  <c r="M69" i="4"/>
  <c r="M33" i="4"/>
  <c r="L75" i="4"/>
  <c r="L110" i="4" s="1"/>
  <c r="L65" i="4"/>
  <c r="L109" i="4" s="1"/>
  <c r="L39" i="9"/>
  <c r="L87" i="4"/>
  <c r="L95" i="4" s="1"/>
  <c r="L97" i="4" s="1"/>
  <c r="L111" i="4" s="1"/>
  <c r="L39" i="4"/>
  <c r="M42" i="4"/>
  <c r="M62" i="4"/>
  <c r="M73" i="4"/>
  <c r="M86" i="4"/>
  <c r="M81" i="4"/>
  <c r="M84" i="4"/>
  <c r="M63" i="4"/>
  <c r="M40" i="4"/>
  <c r="M41" i="4"/>
  <c r="M45" i="4"/>
  <c r="M79" i="4"/>
  <c r="L75" i="10"/>
  <c r="L110" i="10" s="1"/>
  <c r="M85" i="4"/>
  <c r="M70" i="4"/>
  <c r="M83" i="4"/>
  <c r="M74" i="4"/>
  <c r="M71" i="4"/>
  <c r="L87" i="10"/>
  <c r="L95" i="10" s="1"/>
  <c r="L97" i="10" s="1"/>
  <c r="L111" i="10" s="1"/>
  <c r="M82" i="4"/>
  <c r="M80" i="4"/>
  <c r="M108" i="4"/>
  <c r="M35" i="4"/>
  <c r="M34" i="4"/>
  <c r="M47" i="4"/>
  <c r="M46" i="4"/>
  <c r="M72" i="4"/>
  <c r="L75" i="9"/>
  <c r="L110" i="9" s="1"/>
  <c r="L87" i="9"/>
  <c r="L95" i="9" s="1"/>
  <c r="L97" i="9" s="1"/>
  <c r="L111" i="9" s="1"/>
  <c r="L109" i="5"/>
  <c r="L112" i="5" s="1"/>
  <c r="L113" i="11"/>
  <c r="L116" i="11" s="1"/>
  <c r="L117" i="11" s="1"/>
  <c r="L125" i="11" s="1"/>
  <c r="K36" i="10"/>
  <c r="L35" i="10"/>
  <c r="L113" i="12"/>
  <c r="L116" i="12" s="1"/>
  <c r="L43" i="2" l="1"/>
  <c r="L44" i="2"/>
  <c r="L41" i="2"/>
  <c r="L39" i="2"/>
  <c r="L38" i="2"/>
  <c r="L45" i="2" s="1"/>
  <c r="L67" i="2"/>
  <c r="L106" i="2" s="1"/>
  <c r="L104" i="7"/>
  <c r="L112" i="7" s="1"/>
  <c r="M113" i="7"/>
  <c r="M116" i="7" s="1"/>
  <c r="L39" i="7"/>
  <c r="L65" i="7"/>
  <c r="L109" i="7" s="1"/>
  <c r="L87" i="7"/>
  <c r="L95" i="7" s="1"/>
  <c r="L97" i="7" s="1"/>
  <c r="L111" i="7" s="1"/>
  <c r="L75" i="7"/>
  <c r="L110" i="7" s="1"/>
  <c r="L113" i="5"/>
  <c r="L120" i="5" s="1"/>
  <c r="E124" i="5" s="1"/>
  <c r="C6" i="13" s="1"/>
  <c r="F6" i="13" s="1"/>
  <c r="H6" i="13" s="1"/>
  <c r="L113" i="4"/>
  <c r="L116" i="4" s="1"/>
  <c r="M36" i="4"/>
  <c r="L113" i="9"/>
  <c r="L116" i="9" s="1"/>
  <c r="L117" i="9" s="1"/>
  <c r="L125" i="9" s="1"/>
  <c r="M39" i="4"/>
  <c r="M87" i="4"/>
  <c r="M95" i="4" s="1"/>
  <c r="M97" i="4" s="1"/>
  <c r="M111" i="4" s="1"/>
  <c r="M65" i="4"/>
  <c r="M109" i="4" s="1"/>
  <c r="M75" i="4"/>
  <c r="M110" i="4" s="1"/>
  <c r="L117" i="12"/>
  <c r="L125" i="12" s="1"/>
  <c r="K62" i="10"/>
  <c r="L62" i="10" s="1"/>
  <c r="L65" i="10" s="1"/>
  <c r="L109" i="10" s="1"/>
  <c r="L113" i="10" s="1"/>
  <c r="L36" i="10"/>
  <c r="E129" i="11"/>
  <c r="I129" i="11" s="1"/>
  <c r="L129" i="11" s="1"/>
  <c r="L130" i="11" s="1"/>
  <c r="L131" i="11" s="1"/>
  <c r="L118" i="11"/>
  <c r="L122" i="11" s="1"/>
  <c r="L61" i="2" l="1"/>
  <c r="L63" i="2" s="1"/>
  <c r="M117" i="7"/>
  <c r="M124" i="7" s="1"/>
  <c r="E129" i="7" s="1"/>
  <c r="I129" i="7" s="1"/>
  <c r="L129" i="7" s="1"/>
  <c r="L113" i="7"/>
  <c r="L116" i="7" s="1"/>
  <c r="L114" i="5"/>
  <c r="L118" i="5" s="1"/>
  <c r="L117" i="4"/>
  <c r="L124" i="4" s="1"/>
  <c r="L128" i="4" s="1"/>
  <c r="F23" i="13"/>
  <c r="H23" i="13" s="1"/>
  <c r="M113" i="4"/>
  <c r="M116" i="4" s="1"/>
  <c r="I124" i="5"/>
  <c r="L124" i="5" s="1"/>
  <c r="L125" i="5" s="1"/>
  <c r="E129" i="12"/>
  <c r="I129" i="12" s="1"/>
  <c r="L129" i="12" s="1"/>
  <c r="L130" i="12" s="1"/>
  <c r="L131" i="12" s="1"/>
  <c r="L118" i="12"/>
  <c r="L122" i="12" s="1"/>
  <c r="L116" i="10"/>
  <c r="L117" i="10" s="1"/>
  <c r="L125" i="10" s="1"/>
  <c r="E129" i="9"/>
  <c r="I129" i="9" s="1"/>
  <c r="L129" i="9" s="1"/>
  <c r="L130" i="9" s="1"/>
  <c r="L131" i="9" s="1"/>
  <c r="L118" i="9"/>
  <c r="L122" i="9" s="1"/>
  <c r="L105" i="2" l="1"/>
  <c r="L109" i="2" s="1"/>
  <c r="L112" i="2" s="1"/>
  <c r="L113" i="2" s="1"/>
  <c r="L121" i="2" s="1"/>
  <c r="M118" i="7"/>
  <c r="M122" i="7" s="1"/>
  <c r="L117" i="7"/>
  <c r="L124" i="7" s="1"/>
  <c r="E128" i="7" s="1"/>
  <c r="I128" i="7" s="1"/>
  <c r="L128" i="7" s="1"/>
  <c r="L130" i="7" s="1"/>
  <c r="F29" i="13"/>
  <c r="H29" i="13" s="1"/>
  <c r="L118" i="4"/>
  <c r="L122" i="4" s="1"/>
  <c r="F21" i="13"/>
  <c r="H21" i="13" s="1"/>
  <c r="F24" i="13"/>
  <c r="H24" i="13" s="1"/>
  <c r="M117" i="4"/>
  <c r="M124" i="4" s="1"/>
  <c r="E129" i="4" s="1"/>
  <c r="I129" i="4" s="1"/>
  <c r="E129" i="10"/>
  <c r="I129" i="10" s="1"/>
  <c r="L129" i="10" s="1"/>
  <c r="L130" i="10" s="1"/>
  <c r="L131" i="10" s="1"/>
  <c r="L118" i="10"/>
  <c r="L122" i="10" s="1"/>
  <c r="F32" i="13"/>
  <c r="H32" i="13" s="1"/>
  <c r="L114" i="2" l="1"/>
  <c r="L118" i="2" s="1"/>
  <c r="E125" i="2"/>
  <c r="C5" i="13" s="1"/>
  <c r="F5" i="13" s="1"/>
  <c r="H5" i="13" s="1"/>
  <c r="H7" i="13" s="1"/>
  <c r="A44" i="13" s="1"/>
  <c r="H44" i="13" s="1"/>
  <c r="L118" i="7"/>
  <c r="L122" i="7" s="1"/>
  <c r="F31" i="13"/>
  <c r="H31" i="13" s="1"/>
  <c r="F22" i="13"/>
  <c r="H22" i="13" s="1"/>
  <c r="H25" i="13" s="1"/>
  <c r="M118" i="4"/>
  <c r="M122" i="4" s="1"/>
  <c r="F30" i="13"/>
  <c r="H30" i="13" s="1"/>
  <c r="L129" i="4"/>
  <c r="L130" i="4" s="1"/>
  <c r="I125" i="2" l="1"/>
  <c r="L125" i="2" s="1"/>
  <c r="L126" i="2" s="1"/>
  <c r="A39" i="13"/>
  <c r="H39" i="13" s="1"/>
  <c r="H47" i="13"/>
  <c r="H34" i="13"/>
  <c r="H48" i="13" l="1"/>
  <c r="H50" i="13" s="1"/>
  <c r="H56" i="13" s="1"/>
  <c r="H57" i="13" s="1"/>
  <c r="D5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Anderson Shigueru Tanaka</author>
  </authors>
  <commentList>
    <comment ref="K31" authorId="0" shapeId="0" xr:uid="{69548729-CA00-4BCD-A42E-6BF1EAB9DCA1}">
      <text>
        <r>
          <rPr>
            <b/>
            <sz val="9"/>
            <color indexed="81"/>
            <rFont val="Segoe UI"/>
            <family val="2"/>
          </rPr>
          <t>=1/12</t>
        </r>
        <r>
          <rPr>
            <sz val="9"/>
            <color indexed="81"/>
            <rFont val="Segoe UI"/>
            <family val="2"/>
          </rPr>
          <t xml:space="preserve">
</t>
        </r>
      </text>
    </comment>
    <comment ref="K32" authorId="0" shapeId="0" xr:uid="{8A231F8D-2F77-4FCA-A1F9-CAF81D454BBB}">
      <text>
        <r>
          <rPr>
            <b/>
            <sz val="9"/>
            <color indexed="81"/>
            <rFont val="Segoe UI"/>
            <family val="2"/>
          </rPr>
          <t>=1/12/3</t>
        </r>
        <r>
          <rPr>
            <sz val="9"/>
            <color indexed="81"/>
            <rFont val="Segoe UI"/>
            <family val="2"/>
          </rPr>
          <t xml:space="preserve">
</t>
        </r>
      </text>
    </comment>
  </commentList>
</comments>
</file>

<file path=xl/sharedStrings.xml><?xml version="1.0" encoding="utf-8"?>
<sst xmlns="http://schemas.openxmlformats.org/spreadsheetml/2006/main" count="2112" uniqueCount="478">
  <si>
    <t>Objeto</t>
  </si>
  <si>
    <t>Manutenção Predial</t>
  </si>
  <si>
    <t>Número do Processo:</t>
  </si>
  <si>
    <t>Número da Licitação:</t>
  </si>
  <si>
    <t>Data do Pregão:</t>
  </si>
  <si>
    <t>Horário:</t>
  </si>
  <si>
    <t>Data da apresentação da proposta:</t>
  </si>
  <si>
    <t>Município principal:</t>
  </si>
  <si>
    <t>Meses de execução contratual:</t>
  </si>
  <si>
    <t>Salário Mínimo vigente:</t>
  </si>
  <si>
    <t>SINDICATO:</t>
  </si>
  <si>
    <t>SINDUSCON</t>
  </si>
  <si>
    <t>RESIDENTE(S)</t>
  </si>
  <si>
    <t>Oficial Manutenção</t>
  </si>
  <si>
    <t>Eng. Civil</t>
  </si>
  <si>
    <t>Eng. Eletricista</t>
  </si>
  <si>
    <t>Pedreiro</t>
  </si>
  <si>
    <t>Pintor</t>
  </si>
  <si>
    <t>Classificação Brasileira de Ocupações (C.B.O.)</t>
  </si>
  <si>
    <t>5143-25</t>
  </si>
  <si>
    <t>5143-10</t>
  </si>
  <si>
    <t>2142-05</t>
  </si>
  <si>
    <t>2143-05</t>
  </si>
  <si>
    <t>7152-10</t>
  </si>
  <si>
    <t>7233-10</t>
  </si>
  <si>
    <t>Salário Normativo da Categoria Profissional</t>
  </si>
  <si>
    <t>Categoria Profissional</t>
  </si>
  <si>
    <t>Data Base da Categoria</t>
  </si>
  <si>
    <t>maio</t>
  </si>
  <si>
    <t>Salário Base (a ser pago nesta contratação)</t>
  </si>
  <si>
    <t>Adicional de Periculosidade</t>
  </si>
  <si>
    <t>Bilhetes por dia</t>
  </si>
  <si>
    <t xml:space="preserve">Valor tarifa </t>
  </si>
  <si>
    <t>Valor Unitário Mensal</t>
  </si>
  <si>
    <t>Participação do Empregado</t>
  </si>
  <si>
    <t>Valor Unitário Diário</t>
  </si>
  <si>
    <t xml:space="preserve"> Participação Mensal do Empregado:</t>
  </si>
  <si>
    <t>Assistência Médica e Familiar</t>
  </si>
  <si>
    <t>Outros – especificar:</t>
  </si>
  <si>
    <t>especificar</t>
  </si>
  <si>
    <t>Item</t>
  </si>
  <si>
    <t>Custo unitário</t>
  </si>
  <si>
    <t>Vida útil (meses)</t>
  </si>
  <si>
    <t>Quantidade</t>
  </si>
  <si>
    <t>Quant.</t>
  </si>
  <si>
    <t>Valor</t>
  </si>
  <si>
    <t xml:space="preserve">Jaqueta de frio ou Japona </t>
  </si>
  <si>
    <t>Luva de PVC36cm (par)</t>
  </si>
  <si>
    <t>Capacete</t>
  </si>
  <si>
    <t>Cinto de segurança</t>
  </si>
  <si>
    <t>Óculos de segurança</t>
  </si>
  <si>
    <t>Calça jeans com cós</t>
  </si>
  <si>
    <t>Meia (par)</t>
  </si>
  <si>
    <t>Botina de elástico com bico de aço</t>
  </si>
  <si>
    <t>Botina de elástico sem bico de aço</t>
  </si>
  <si>
    <t>Boné</t>
  </si>
  <si>
    <t>Capa de chuva</t>
  </si>
  <si>
    <t>Crachá com identificação da empresa</t>
  </si>
  <si>
    <t>Custo total mensal:</t>
  </si>
  <si>
    <t>IDENTIFICAÇÃO</t>
  </si>
  <si>
    <t>Alíquota</t>
  </si>
  <si>
    <t>RAT – RISCO AMBIENTAL DO TRABALHO</t>
  </si>
  <si>
    <t>FAP – FATOR PREVIDENCIÁRIO DE PREVENÇÃO</t>
  </si>
  <si>
    <t>BDI APURADO</t>
  </si>
  <si>
    <t>CUSTOS INDIRETOS / DESPESAS ADMINISTRATIVAS</t>
  </si>
  <si>
    <t>LUCRO</t>
  </si>
  <si>
    <t>TRIBUTOS</t>
  </si>
  <si>
    <t>TRIBUTOS FEDERAIS</t>
  </si>
  <si>
    <t>PIS</t>
  </si>
  <si>
    <t>COFINS</t>
  </si>
  <si>
    <t>TRIBUTOS MUNICIPAIS</t>
  </si>
  <si>
    <t>ISS</t>
  </si>
  <si>
    <t>VALOR</t>
  </si>
  <si>
    <t>VALOR DA DIÁRIA PARA PERNOITE</t>
  </si>
  <si>
    <t>DESCONTO OFERTADO SOBRE TABELA SINAPI (MATERIAIS E SERVIÇOS SUBCONTRATADOS)</t>
  </si>
  <si>
    <t>CUSTO DO VEÍCULO E DESLOCAMENTOS</t>
  </si>
  <si>
    <t>DESLOCAMENTOS</t>
  </si>
  <si>
    <t>COMBUSTÍVEL</t>
  </si>
  <si>
    <t>MUNICÍPIO</t>
  </si>
  <si>
    <t>DISTÂNCIA (IDA E VOLTA)</t>
  </si>
  <si>
    <t>PEDÁGIOS (IDA E VOLTA)</t>
  </si>
  <si>
    <t>VIAGENS MENSAIS</t>
  </si>
  <si>
    <t>Etanol</t>
  </si>
  <si>
    <t>CUSTOS DO VEÍCULO</t>
  </si>
  <si>
    <t>Custo estimado do veículo</t>
  </si>
  <si>
    <t>Quilometragem estimada VIAGENS</t>
  </si>
  <si>
    <t>km por ano</t>
  </si>
  <si>
    <t xml:space="preserve">km por mês </t>
  </si>
  <si>
    <t>Custo do Combustível</t>
  </si>
  <si>
    <t>Consumo (km por litro)</t>
  </si>
  <si>
    <t>Preço médio do combustível (etanol)</t>
  </si>
  <si>
    <t>Valor médio estimado anual</t>
  </si>
  <si>
    <t xml:space="preserve">Custo </t>
  </si>
  <si>
    <t>Custos do IPVA + Seguro obrig. + Licenciamento</t>
  </si>
  <si>
    <t>IPVA (4%)</t>
  </si>
  <si>
    <t>Seguro Obrigatório</t>
  </si>
  <si>
    <t>Licenciamento</t>
  </si>
  <si>
    <t>Custo da Manutenção</t>
  </si>
  <si>
    <t>Custo da Limpeza</t>
  </si>
  <si>
    <t xml:space="preserve">Qtde de limpezas ao ano </t>
  </si>
  <si>
    <t>Custo do Seguro</t>
  </si>
  <si>
    <t>Seguro (6,5% valor do veículo)</t>
  </si>
  <si>
    <t>Custo do Pedágio</t>
  </si>
  <si>
    <t>Viagens mensais estimadas</t>
  </si>
  <si>
    <t>CUSTO TOTAL POR KM RODADO</t>
  </si>
  <si>
    <t>Viagens e trânsito interno</t>
  </si>
  <si>
    <t>PLANILHA DE CUSTO E FORMAÇÃO DE PREÇOS</t>
  </si>
  <si>
    <t>Descrição do Serviço:</t>
  </si>
  <si>
    <t>►</t>
  </si>
  <si>
    <t>Município (s)  da prestação de serviço</t>
  </si>
  <si>
    <t>Número de meses de execução contratual:</t>
  </si>
  <si>
    <t>Unidade de medida</t>
  </si>
  <si>
    <t>Posto</t>
  </si>
  <si>
    <t>Quantidade total a contratar (em função da unidade de medida):</t>
  </si>
  <si>
    <t>DADOS COMPLEMENTARES PARA COMPOSIÇÃO DOS CUSTOS REFERENTE À MÃO DE OBRA</t>
  </si>
  <si>
    <t>Salário Normativo da Categoria Profissional:</t>
  </si>
  <si>
    <t>Categoria profissional (vinculada a execução contratual)</t>
  </si>
  <si>
    <t>Data base da categoria</t>
  </si>
  <si>
    <t>Código Brasileiro de Ocupações - CBO</t>
  </si>
  <si>
    <t>MÓDULO 01 – Composição da Remuneração</t>
  </si>
  <si>
    <t>A</t>
  </si>
  <si>
    <t>Salário Base</t>
  </si>
  <si>
    <t>B</t>
  </si>
  <si>
    <t>CLT art.s 193 e segs ;CF art. 7º XXIII</t>
  </si>
  <si>
    <t>Adicional de 30%</t>
  </si>
  <si>
    <t>C</t>
  </si>
  <si>
    <t>Adicional de Insalubridade</t>
  </si>
  <si>
    <t>CLT art. 189 e segs - CF art. 7º XXIII</t>
  </si>
  <si>
    <t>Base de cálculo: Salário mínimo</t>
  </si>
  <si>
    <t>Mín. =10%  |  Méd. = 20%  |  Máx. = 40%</t>
  </si>
  <si>
    <t>D</t>
  </si>
  <si>
    <t>Adicional Noturno</t>
  </si>
  <si>
    <t>E</t>
  </si>
  <si>
    <t>F</t>
  </si>
  <si>
    <t>Adicional de hora extra no feriado</t>
  </si>
  <si>
    <t>G</t>
  </si>
  <si>
    <t>Outros (especificar)</t>
  </si>
  <si>
    <t>VALOR DA REMUNERAÇÃO</t>
  </si>
  <si>
    <t>MÓDULO 02 – Encargos e benefícios anuais, mensais e diários</t>
  </si>
  <si>
    <r>
      <rPr>
        <b/>
        <sz val="10"/>
        <rFont val="Arial"/>
        <family val="1"/>
        <charset val="1"/>
      </rPr>
      <t>Submódulo 2.1 – 13</t>
    </r>
    <r>
      <rPr>
        <b/>
        <vertAlign val="superscript"/>
        <sz val="10"/>
        <rFont val="Arial"/>
        <family val="1"/>
        <charset val="1"/>
      </rPr>
      <t>o</t>
    </r>
    <r>
      <rPr>
        <b/>
        <sz val="10"/>
        <rFont val="Arial"/>
        <family val="1"/>
        <charset val="1"/>
      </rPr>
      <t>. (décimo terceikro) salário, férias e adicional de férias</t>
    </r>
  </si>
  <si>
    <r>
      <rPr>
        <sz val="12"/>
        <rFont val="Times New Roman"/>
        <family val="1"/>
        <charset val="1"/>
      </rPr>
      <t>13</t>
    </r>
    <r>
      <rPr>
        <vertAlign val="superscript"/>
        <sz val="10"/>
        <rFont val="Arial"/>
        <family val="1"/>
        <charset val="1"/>
      </rPr>
      <t>o</t>
    </r>
    <r>
      <rPr>
        <sz val="10"/>
        <rFont val="Arial"/>
        <family val="1"/>
        <charset val="1"/>
      </rPr>
      <t>. Salário</t>
    </r>
  </si>
  <si>
    <t>Adicional de férias</t>
  </si>
  <si>
    <t>Incidência do SM 2.2 sobre o SM 2.1</t>
  </si>
  <si>
    <t>Submódulo 2.2 – Encargos Previdenciários (GPS), Fundo de Garantia por Tempo de Serviço (FGTS) e outras contribuições</t>
  </si>
  <si>
    <t>2.2– Encargos Sociais, Previdenciários e FGTS</t>
  </si>
  <si>
    <t>INSS</t>
  </si>
  <si>
    <t>SESI ou SESC</t>
  </si>
  <si>
    <t>SENAI ou SENAC</t>
  </si>
  <si>
    <t>INCRA</t>
  </si>
  <si>
    <t>Salário educação</t>
  </si>
  <si>
    <t>FGTS</t>
  </si>
  <si>
    <t>RAT</t>
  </si>
  <si>
    <t>FAP:</t>
  </si>
  <si>
    <t>H</t>
  </si>
  <si>
    <t>SEBRAE</t>
  </si>
  <si>
    <t>Submódulo 2.3 – Benefícios Mensais e Diários</t>
  </si>
  <si>
    <t>Transporte</t>
  </si>
  <si>
    <t>Auxílio Refeição/ Alimentação</t>
  </si>
  <si>
    <t>Cesta básica</t>
  </si>
  <si>
    <t>Auxílio creche</t>
  </si>
  <si>
    <t>Seguro de vida em grupo</t>
  </si>
  <si>
    <t>I</t>
  </si>
  <si>
    <t>Total</t>
  </si>
  <si>
    <t>Quadro resumo do Módulo 2 – Encargos e benefícios anuais, mensais e diário</t>
  </si>
  <si>
    <t>2.1</t>
  </si>
  <si>
    <r>
      <rPr>
        <sz val="10"/>
        <rFont val="Arial"/>
        <family val="1"/>
        <charset val="1"/>
      </rPr>
      <t>13</t>
    </r>
    <r>
      <rPr>
        <vertAlign val="superscript"/>
        <sz val="10"/>
        <rFont val="Arial"/>
        <family val="1"/>
        <charset val="1"/>
      </rPr>
      <t>o</t>
    </r>
    <r>
      <rPr>
        <sz val="10"/>
        <rFont val="Arial"/>
        <family val="1"/>
        <charset val="1"/>
      </rPr>
      <t>. Salário, férias e adicional de férias</t>
    </r>
  </si>
  <si>
    <t>2.2</t>
  </si>
  <si>
    <t>GPS, FGTS e outras contribuições</t>
  </si>
  <si>
    <t>2.3</t>
  </si>
  <si>
    <t>Benefícios Mensais e diários</t>
  </si>
  <si>
    <t>MÓDULO 03 – Provisão para rescisão</t>
  </si>
  <si>
    <t>Aviso Prévio Indenizado</t>
  </si>
  <si>
    <t>dias</t>
  </si>
  <si>
    <t>% de ocorrência ANUAL</t>
  </si>
  <si>
    <t>Incidência do FGTS sobre Aviso Prévio Indenizado</t>
  </si>
  <si>
    <t>Multa do FGTS do Aviso Prévio Indenizado(40% Legal e 10% Contr. Social = 50% s/ FGTS)</t>
  </si>
  <si>
    <t>Aviso Prévio Trabalhado</t>
  </si>
  <si>
    <t>Multa do FGTS do Aviso Prévio Trabalhado  (40% Legal e 10% Contr. Social = 50% s/ FGTS)</t>
  </si>
  <si>
    <t>Multa do FGTS (Conta vinculada)</t>
  </si>
  <si>
    <t>Incidência do SM 2.2 sobre o Modulo 3</t>
  </si>
  <si>
    <t>MÓDULO 04 – Custo de reposição do profissional ausente</t>
  </si>
  <si>
    <t>Submódulo 4.1 – Ausências legais</t>
  </si>
  <si>
    <t>Férias</t>
  </si>
  <si>
    <t>Ausências Legais</t>
  </si>
  <si>
    <t>Dias/ano</t>
  </si>
  <si>
    <t>Percentual ocorrência</t>
  </si>
  <si>
    <t>Auxilio Doença</t>
  </si>
  <si>
    <t>Licença paternidade</t>
  </si>
  <si>
    <t>Ausência por acidente do trabalho</t>
  </si>
  <si>
    <t>Afastamento Maternidade</t>
  </si>
  <si>
    <t>Incidencia do SM 2.2 sobre SM 4.1</t>
  </si>
  <si>
    <t>Submódulo4.2 – Intrajornada</t>
  </si>
  <si>
    <t>Intervalo para repouso e alimentação</t>
  </si>
  <si>
    <t>Incidência do SM 2.2 sobre SM 4.2</t>
  </si>
  <si>
    <t>Quadro resumo do Módulo 4 – Custo de reposição do profissional ausente</t>
  </si>
  <si>
    <t>4.1</t>
  </si>
  <si>
    <t>Ausências legais</t>
  </si>
  <si>
    <t>4.2</t>
  </si>
  <si>
    <t>Intrajornada</t>
  </si>
  <si>
    <t>MÓDULO 05 – Insumos Diversos</t>
  </si>
  <si>
    <t>Valor (R$)</t>
  </si>
  <si>
    <t>Uniformes (custo mensal por empregado)</t>
  </si>
  <si>
    <t>Equipamentos  (custo mensal por empregado)</t>
  </si>
  <si>
    <t>--</t>
  </si>
  <si>
    <t>Total de Insumos Diversos</t>
  </si>
  <si>
    <t>QUADRO RESUMO DO CUSTO POR EMPREGADO</t>
  </si>
  <si>
    <t>Mão-de-obra vinculada à execução contratual (valor por empregado)</t>
  </si>
  <si>
    <t>MÓDULO 02 –Encargos e benefícios anuais, mensais e diários</t>
  </si>
  <si>
    <t>MÓDULO 05 – Insumos diversos</t>
  </si>
  <si>
    <t>Subtotal (A+B+C+D+E)</t>
  </si>
  <si>
    <t>MÓDULO 06 – Custos Indireto, Lucros e Tributos</t>
  </si>
  <si>
    <t>Custos Indiretos / Despesas Administrativas</t>
  </si>
  <si>
    <t>Lucro</t>
  </si>
  <si>
    <t>Tributos</t>
  </si>
  <si>
    <t>Tributos Federais</t>
  </si>
  <si>
    <t>PIS:</t>
  </si>
  <si>
    <t>COFINS:</t>
  </si>
  <si>
    <t>Tributos Municipais</t>
  </si>
  <si>
    <t>ISSQN:</t>
  </si>
  <si>
    <t>Total de Custos Indireto, Lucros e Tributos</t>
  </si>
  <si>
    <t>BDI apurado</t>
  </si>
  <si>
    <t>Valor total proposto por empregado</t>
  </si>
  <si>
    <t>ANEXO III-C: QUADRO RESUMO – VALOR MENSAL DOS SERVIÇOS</t>
  </si>
  <si>
    <t>Tipo de serviço
(A)</t>
  </si>
  <si>
    <t>Valor proposto por empregado
(B)</t>
  </si>
  <si>
    <t>Empregados por posto
(C)</t>
  </si>
  <si>
    <t>Valor  proposta por posto
(D) = (B) x (C)</t>
  </si>
  <si>
    <t>Qtde de postos
(E)</t>
  </si>
  <si>
    <t>Valor total do serviço
(F) = (D) x (E)</t>
  </si>
  <si>
    <t>Oficial de Manutenção</t>
  </si>
  <si>
    <t>Valor Mensal dos Serviços – Posto Residente</t>
  </si>
  <si>
    <t>ENCARGOS SOCIAIS – OFICIAL MANUTENÇÃO</t>
  </si>
  <si>
    <t>Remuneração Oficial</t>
  </si>
  <si>
    <t>Encargos legais</t>
  </si>
  <si>
    <t>BENEFÍCIOS LEGAIS ACORDADOS –</t>
  </si>
  <si>
    <t>Ticket refeição</t>
  </si>
  <si>
    <t>refeição/dia</t>
  </si>
  <si>
    <t>nº dias/mês</t>
  </si>
  <si>
    <t>valor refeição</t>
  </si>
  <si>
    <t>Custo empregado</t>
  </si>
  <si>
    <t>Valor Total Unitário</t>
  </si>
  <si>
    <t>CESTA BÁSICA /CARTÃO ALIMENTAÇÃO</t>
  </si>
  <si>
    <t>Valor unitário</t>
  </si>
  <si>
    <t>Custo total unitário</t>
  </si>
  <si>
    <t>VALE TRANSPORTE</t>
  </si>
  <si>
    <t>bilhete/dia</t>
  </si>
  <si>
    <t>Valor tarifa</t>
  </si>
  <si>
    <t>Custo total</t>
  </si>
  <si>
    <t>AUXILIO CRECHE</t>
  </si>
  <si>
    <t>Salário Mínimo</t>
  </si>
  <si>
    <t>Valor do Benefício</t>
  </si>
  <si>
    <t>Percentual de Ocorrência</t>
  </si>
  <si>
    <t>Nº de filhos</t>
  </si>
  <si>
    <t>Valor Unitário Provisionado</t>
  </si>
  <si>
    <t>SEGURO DE VIDA EM GRUPO</t>
  </si>
  <si>
    <t>Valor Unitário mensal:</t>
  </si>
  <si>
    <t>Empregado</t>
  </si>
  <si>
    <t>Custo Total Unitário</t>
  </si>
  <si>
    <t>Valor provisionado</t>
  </si>
  <si>
    <t>UNIFORME</t>
  </si>
  <si>
    <t>Vida Útil</t>
  </si>
  <si>
    <t>Valor considerado</t>
  </si>
  <si>
    <t>Camiseta manga curta</t>
  </si>
  <si>
    <t>Camiseta manga longa</t>
  </si>
  <si>
    <t>Boné legionário</t>
  </si>
  <si>
    <t>Soma …………..</t>
  </si>
  <si>
    <t>DADOS COMPLEMENTARES PARA COMPOSIÇÃO DOS CUSTOS REFERENTE À MÃO-DE-OBRA</t>
  </si>
  <si>
    <t>Hora Extra 100%</t>
  </si>
  <si>
    <t>Módulo 2 – Encargos e benefícios anuais, mensais e diários</t>
  </si>
  <si>
    <r>
      <rPr>
        <sz val="10"/>
        <rFont val="Arial"/>
        <family val="1"/>
        <charset val="1"/>
      </rPr>
      <t>Submódulo 2.1 – 13</t>
    </r>
    <r>
      <rPr>
        <vertAlign val="superscript"/>
        <sz val="10"/>
        <rFont val="Arial"/>
        <family val="1"/>
        <charset val="1"/>
      </rPr>
      <t>o</t>
    </r>
    <r>
      <rPr>
        <sz val="10"/>
        <rFont val="Arial"/>
        <family val="1"/>
        <charset val="1"/>
      </rPr>
      <t>. (décimo terceikro) salário, férias e adicional de férias</t>
    </r>
  </si>
  <si>
    <t>Férias e adicional de férias</t>
  </si>
  <si>
    <t>Benefício social familiar</t>
  </si>
  <si>
    <t>Exames – Admissional/demissional</t>
  </si>
  <si>
    <t>Módulo 3 – Provisão para rescisão</t>
  </si>
  <si>
    <t>% de ocorrência</t>
  </si>
  <si>
    <t>Módulo 4 – Custo de reposição do profissional ausente</t>
  </si>
  <si>
    <t>Submódulo 4.1 – Ausencias legais</t>
  </si>
  <si>
    <t>Equipamento Carregador (custo mensal por empregado)</t>
  </si>
  <si>
    <t>Valor hora extra (com 60% de acréscimo)</t>
  </si>
  <si>
    <t>ANEXO III-C: QUADRO RESUMO OFICIAL  – VALOR MENSAL DOS SERVIÇOS</t>
  </si>
  <si>
    <t>Valor HORA EXTRA 
(B)</t>
  </si>
  <si>
    <t>Qtde de horas mensais  estimadas
(E)</t>
  </si>
  <si>
    <t>Valor total estimado
Mensal
(F) = (D) x (E)</t>
  </si>
  <si>
    <t>Item 1 – Valor Mensal Estimado dos Serviços</t>
  </si>
  <si>
    <t>Equipamento (custo mensal por empregado)</t>
  </si>
  <si>
    <t>ANEXO III-C: QUADRO RESUMO  – VALOR MENSAL DOS SERVIÇOS</t>
  </si>
  <si>
    <t>ENCARGOS SOCIAIS – AJUDANTE MANUTENÇÃO</t>
  </si>
  <si>
    <t>ANEXO III-C: QUADRO RESUMO AJUDANTE  – VALOR MENSAL DOS SERVIÇOS</t>
  </si>
  <si>
    <t>FERRAMENTAS MÍNIMAS</t>
  </si>
  <si>
    <t>Descrição</t>
  </si>
  <si>
    <t>Preço unitário</t>
  </si>
  <si>
    <t>Valor mensal</t>
  </si>
  <si>
    <t>Valor mensal por posto</t>
  </si>
  <si>
    <t>EXTINTORES DE INCÊNDIO – RECARGA</t>
  </si>
  <si>
    <t>Quantidade atual e a ser adquirida</t>
  </si>
  <si>
    <t>Preço unitário da recarga</t>
  </si>
  <si>
    <t>Extintor de água pressurizada - 10 litros</t>
  </si>
  <si>
    <t>Extintor de CO2 de 6 Kg</t>
  </si>
  <si>
    <t>Extintor de pó químico seco de 4 Kg</t>
  </si>
  <si>
    <t>Extintor de pó químico seco de 12 Kg</t>
  </si>
  <si>
    <t>Total mensal por posto residente ………………………………………………………..</t>
  </si>
  <si>
    <t>Engenheiro Civil</t>
  </si>
  <si>
    <t>Valor Mensal dos Serviços – Equipe de apoio</t>
  </si>
  <si>
    <t>Valor hora/homem</t>
  </si>
  <si>
    <t>Engenheiro Eletricista</t>
  </si>
  <si>
    <t>Valor Mensal dos Serviços – Equipe de Apoio</t>
  </si>
  <si>
    <t>QUADRO RESUMO DO VALOR MENSAL DOS SERVIÇOS</t>
  </si>
  <si>
    <t>Equipe Residente – Custo fixo</t>
  </si>
  <si>
    <t>Tipo de serviço (A)</t>
  </si>
  <si>
    <t>Valor proposto por empregado (B)</t>
  </si>
  <si>
    <t>Qtde. de empregados por posto (C)</t>
  </si>
  <si>
    <t>Valor proposto por posto (D) = (B x C)</t>
  </si>
  <si>
    <t>Quantidade de postos (E)</t>
  </si>
  <si>
    <t>Valor total do serviço (F) = (D x E)</t>
  </si>
  <si>
    <t>II</t>
  </si>
  <si>
    <t>Valor mensal dos serviços</t>
  </si>
  <si>
    <t>Kms rodados por mês</t>
  </si>
  <si>
    <t>Valor total mensal</t>
  </si>
  <si>
    <t>Custo Variável (custo máximo estimado em 50% do total de km rodados por mês)</t>
  </si>
  <si>
    <t>Equipe de Apoio - Custo Variável</t>
  </si>
  <si>
    <t>Tipo de serviço</t>
  </si>
  <si>
    <t>Valor proposto por empregado</t>
  </si>
  <si>
    <t>Horas mensais estimadas</t>
  </si>
  <si>
    <t>Valor proposto por posto</t>
  </si>
  <si>
    <t>Quantidade de postos</t>
  </si>
  <si>
    <t>Valor total do serviço</t>
  </si>
  <si>
    <t>III</t>
  </si>
  <si>
    <t>IV</t>
  </si>
  <si>
    <t>Parte variável (pagamento de acordo com a efetiva utilização)</t>
  </si>
  <si>
    <t>Horas extras (OFICIAL MANUTENÇÃO )</t>
  </si>
  <si>
    <t>Valor Estimado mensal</t>
  </si>
  <si>
    <t>Horas extras feriado e final de semana (OFICIAL MANUTENÇÃO)</t>
  </si>
  <si>
    <t>Número de pernoites (estimado)</t>
  </si>
  <si>
    <t>Total Custo variável (Estimado) - Pagamento pelo efetivamente utilizado</t>
  </si>
  <si>
    <t>Aquisição de peças (tabela SINAPI) -  Custo variável</t>
  </si>
  <si>
    <t>Valor estimado para aquisição de peças (mensal)</t>
  </si>
  <si>
    <t>Valor do desconto sobre a tabela SINAPI</t>
  </si>
  <si>
    <t>BDI</t>
  </si>
  <si>
    <t>Valor total para aquisição das peças (Mensal)</t>
  </si>
  <si>
    <t>Pagamento de serviços sob demanda (tabela SINAPI) -  Custo variável</t>
  </si>
  <si>
    <t>Valor estimado para serviços de manutenção realizados por empresas especializadas (mensal)</t>
  </si>
  <si>
    <t>Resumo: Composição dos custos mensais</t>
  </si>
  <si>
    <t>Preço Total mensal</t>
  </si>
  <si>
    <t xml:space="preserve"> QUADRO DEMONSTRATIVO DO VALOR GLOBAL DA PROPOSTA</t>
  </si>
  <si>
    <t>Valor global da proposta</t>
  </si>
  <si>
    <t xml:space="preserve"> </t>
  </si>
  <si>
    <t xml:space="preserve">A </t>
  </si>
  <si>
    <r>
      <rPr>
        <b/>
        <sz val="13"/>
        <color indexed="10"/>
        <rFont val="Arial"/>
        <family val="2"/>
      </rPr>
      <t>Valor anual do item</t>
    </r>
    <r>
      <rPr>
        <sz val="13"/>
        <color indexed="10"/>
        <rFont val="Arial"/>
        <family val="2"/>
      </rPr>
      <t xml:space="preserve"> (valor mensal do serviço multiplicado pelo número de meses do contrato) </t>
    </r>
    <r>
      <rPr>
        <b/>
        <u/>
        <sz val="13"/>
        <color indexed="10"/>
        <rFont val="Arial"/>
        <family val="2"/>
      </rPr>
      <t>a ser lançado no COMPRASNET</t>
    </r>
  </si>
  <si>
    <t>VALOR ANUAL DO ITEM:</t>
  </si>
  <si>
    <t>VALOR POR EXTENSO:</t>
  </si>
  <si>
    <t>NOME/RAZÃO SOCIAL:</t>
  </si>
  <si>
    <t>CNPJ:</t>
  </si>
  <si>
    <t xml:space="preserve">TELEFONE:   </t>
  </si>
  <si>
    <t>ENDEREÇO:</t>
  </si>
  <si>
    <t>BAIRRO:</t>
  </si>
  <si>
    <t xml:space="preserve">MUNICÍPIO:   </t>
  </si>
  <si>
    <t>E-MAIL:</t>
  </si>
  <si>
    <t>VALIDADE DA PROPOSTA:</t>
  </si>
  <si>
    <t xml:space="preserve"> DIAS.</t>
  </si>
  <si>
    <t>________________________________________________________________________</t>
  </si>
  <si>
    <t>Nome do Responsável pela empresa</t>
  </si>
  <si>
    <t>Número do RG do Responsável pela empresa</t>
  </si>
  <si>
    <t>Veículo próprio ou locado, ano de fabricação mínima: 2019</t>
  </si>
  <si>
    <t>Custo mensal</t>
  </si>
  <si>
    <t xml:space="preserve">Total Mensal </t>
  </si>
  <si>
    <t>Custos fixos = Equipe Residente + Veículo (Parte Fixa)+ PPRA+PCMSO</t>
  </si>
  <si>
    <t>Jogo de chaves "ALLEN" completo - 30 peças</t>
  </si>
  <si>
    <t>Jogo de chaves "ESTRELA" completo - 12 peças - 6 a 32mm</t>
  </si>
  <si>
    <t>Jogo de chaves "BOCA" completo - 12 peças - 6 a 32mm</t>
  </si>
  <si>
    <t>Jogo de chaves "SOQUETE" completo - 24 peças</t>
  </si>
  <si>
    <t>Jogo de chaves "PHILIPS" e "FENDA" completo - 20 peças</t>
  </si>
  <si>
    <t>Chave de "GRIFO" - 24''</t>
  </si>
  <si>
    <t>Chave "INGLESA" - 12''</t>
  </si>
  <si>
    <t>Jogo de limas - 10 peças</t>
  </si>
  <si>
    <t>Arco de serra</t>
  </si>
  <si>
    <t>Jogo de lâminas para arco de serra - 2 peças</t>
  </si>
  <si>
    <t>Saca pinos paralelos com 06  peças</t>
  </si>
  <si>
    <t>Alicate de pressão 10''</t>
  </si>
  <si>
    <t>Alicate universal com cabo isolado 8''</t>
  </si>
  <si>
    <t>Alicate de bico redondo com cabo isolado 6''</t>
  </si>
  <si>
    <t>Alicate de bico chato com cabo isolado 6''</t>
  </si>
  <si>
    <t>Alicate de corte diagonal com cabo isolado 6''</t>
  </si>
  <si>
    <t>Amperimetro do tipo alicate</t>
  </si>
  <si>
    <t>Paquímetro universal 150mm 0,05 mm</t>
  </si>
  <si>
    <t>Chave Saca fusível NH</t>
  </si>
  <si>
    <t>Ferro de soldar 127v/40w</t>
  </si>
  <si>
    <t>Sugador de soldas</t>
  </si>
  <si>
    <t>Multiteste (multímetro digital)</t>
  </si>
  <si>
    <t>Furadeira portátil profissional 1/2</t>
  </si>
  <si>
    <t>Jogo de brocas completo - 25 peças</t>
  </si>
  <si>
    <t>Conjunto de serra-copo - 5 peças</t>
  </si>
  <si>
    <t xml:space="preserve">Lanterna de mão </t>
  </si>
  <si>
    <t>Talhadeira 12''</t>
  </si>
  <si>
    <t>Pé-de-cabra simples 60 cm</t>
  </si>
  <si>
    <t>Martelo 25mm</t>
  </si>
  <si>
    <t>Martelo de borracha 60mm</t>
  </si>
  <si>
    <t>Serrote 22''</t>
  </si>
  <si>
    <t>Trena 5 metros</t>
  </si>
  <si>
    <t>Nível de alumínio 14''</t>
  </si>
  <si>
    <t>Colher de pedreiro 9''</t>
  </si>
  <si>
    <t>Flangeador 3/16'' - 5/8''</t>
  </si>
  <si>
    <t>Escada de alumínio - 10 degraus</t>
  </si>
  <si>
    <t>Escada autoportante extensível 2 lances  - 3m cada</t>
  </si>
  <si>
    <t>pá com bico, com cabo de 45 cm</t>
  </si>
  <si>
    <t>Plaina manual n° 3</t>
  </si>
  <si>
    <t>Picareta com cabo</t>
  </si>
  <si>
    <t>Jogo de tarraxas para PVC</t>
  </si>
  <si>
    <t>Rebitadeira 4 pontas</t>
  </si>
  <si>
    <t>Grampeador tipo "rocama" - 106</t>
  </si>
  <si>
    <t>Marreta  2,5 kg</t>
  </si>
  <si>
    <t>Prumo</t>
  </si>
  <si>
    <t>Esquadro</t>
  </si>
  <si>
    <t>Lixadeira angular 7”</t>
  </si>
  <si>
    <t>Rolos de pintura</t>
  </si>
  <si>
    <t>Pincel 2”</t>
  </si>
  <si>
    <t>Moto esmeril 6 pol.</t>
  </si>
  <si>
    <t>Torno de bancada (morsa) nº 2</t>
  </si>
  <si>
    <t>Uniforme resistente ao fogo</t>
  </si>
  <si>
    <t>Valor médio Combustível  Fonte: Sinapi</t>
  </si>
  <si>
    <t>Camiseta de algodão (100%) manga curta</t>
  </si>
  <si>
    <t>Camiseta de algodão (100%) manga longa</t>
  </si>
  <si>
    <t>Luva de PVC 35cm (par)</t>
  </si>
  <si>
    <t>Calça BRIM com cós</t>
  </si>
  <si>
    <t>Botina de elástico com bico de pvc</t>
  </si>
  <si>
    <t>IDENTIFICAÇÃO DO SERVIÇO (POSTO)</t>
  </si>
  <si>
    <t>Custo do empregado (6% * Sal. Base)</t>
  </si>
  <si>
    <t>VALE TRANSPORTE - Custo da Empresa</t>
  </si>
  <si>
    <t>TIQUETE REFEIÇÃO</t>
  </si>
  <si>
    <t>ASSISTÊNCIA MÉDICA</t>
  </si>
  <si>
    <t>AUXÍLIO CRECHE</t>
  </si>
  <si>
    <t>ASSISTÊNCIA MÉDICA E FAMILIAR</t>
  </si>
  <si>
    <t>Auxiliar Manutenção</t>
  </si>
  <si>
    <t>2023/2024</t>
  </si>
  <si>
    <t>APOIO
(valor hora - tabela SINAPI)
julho de 2023 - sem desoneração</t>
  </si>
  <si>
    <t>Ref. 90777</t>
  </si>
  <si>
    <t>Ref. 91677</t>
  </si>
  <si>
    <t>Ref. 88309</t>
  </si>
  <si>
    <t>Ref. 88310</t>
  </si>
  <si>
    <t>nsa</t>
  </si>
  <si>
    <t>BENEFÍCIOS</t>
  </si>
  <si>
    <t>Residentes: Ano do Acordo, Convenção ou Dissídio Coletivo | Apoio: Referência Tabela Sinapi</t>
  </si>
  <si>
    <t>VALE ALIMENTAÇÃO / CESTA BÁSICA</t>
  </si>
  <si>
    <t>Revisão anual</t>
  </si>
  <si>
    <t>Limpeza (veículo pequeno) - lavar e secar</t>
  </si>
  <si>
    <t xml:space="preserve">PPRA e PCMSO </t>
  </si>
  <si>
    <t>PPRA e PCMSO – Custo fixo mensal (médio)</t>
  </si>
  <si>
    <t>Programa de Prevenção de Riscos Ambientais (PPRA) e Programa de Controle Médico de Saúde Ocupacional (PCMSO) - ANUAL</t>
  </si>
  <si>
    <t>XX/XX/2023</t>
  </si>
  <si>
    <t>Valor mensal (por POSTO)</t>
  </si>
  <si>
    <r>
      <rPr>
        <b/>
        <sz val="10"/>
        <rFont val="Arial"/>
        <family val="2"/>
      </rPr>
      <t>Materiais de consumo</t>
    </r>
    <r>
      <rPr>
        <sz val="10"/>
        <rFont val="Arial"/>
        <family val="2"/>
      </rPr>
      <t xml:space="preserve"> (Brocas, pregos, parafusos, porcas, arruelas, bucha, borracha branca, colas e adesivos para tubos PVC, silicone, desengraxante, desengraxante automotivo, detergente desengraxante tipo solupan, detergente neutro, eletrodo para solda, escova tipo lava roupas, esponja dupla face, estanho em fio para solda, estopa, fita isolante, graxa, Lã de aço, Massa tipo epoxi, sabão desengraxante, solventes, thinner, veda-rosca, água destilada, álcool, óleo lubrificante, WD 40, fitas teflon, desingripante, entre outros.)</t>
    </r>
  </si>
  <si>
    <t>Valor km rodado</t>
  </si>
  <si>
    <t xml:space="preserve">Horas extras (AUXILIAR MANUTENÇÃO) </t>
  </si>
  <si>
    <t>Horas extras feriado e final de semana (AUXILIAR MANUTENÇÃO)</t>
  </si>
  <si>
    <r>
      <t>Custos variáveis</t>
    </r>
    <r>
      <rPr>
        <b/>
        <sz val="9"/>
        <rFont val="Arial"/>
        <family val="2"/>
      </rPr>
      <t xml:space="preserve"> = Equipe de Apoio + Equipe de Apoio (hora extra) + Veículo (Parte Variável) + Aquisição de peças (Tabela SINAPI)  + Serviços de manutenção realizados por empresas especializadas (Tabela SINAPI)</t>
    </r>
  </si>
  <si>
    <t>JUNDIAÍ</t>
  </si>
  <si>
    <t>Bragança Paulista</t>
  </si>
  <si>
    <r>
      <t xml:space="preserve">Jundiaí </t>
    </r>
    <r>
      <rPr>
        <sz val="8"/>
        <rFont val="Arial"/>
        <family val="2"/>
      </rPr>
      <t>(trânsito na cidade)</t>
    </r>
  </si>
  <si>
    <t>Pregão DRF/JUN nº 10/2023</t>
  </si>
  <si>
    <t>16034.720017/2023-24</t>
  </si>
  <si>
    <r>
      <t>13</t>
    </r>
    <r>
      <rPr>
        <vertAlign val="superscript"/>
        <sz val="11"/>
        <rFont val="Arial"/>
        <family val="2"/>
      </rPr>
      <t>o</t>
    </r>
    <r>
      <rPr>
        <sz val="11"/>
        <rFont val="Arial"/>
        <family val="2"/>
      </rPr>
      <t>. Salário</t>
    </r>
  </si>
  <si>
    <r>
      <t>Submódulo 2.1 – 13</t>
    </r>
    <r>
      <rPr>
        <b/>
        <vertAlign val="superscript"/>
        <sz val="11"/>
        <rFont val="Arial"/>
        <family val="2"/>
      </rPr>
      <t>o</t>
    </r>
    <r>
      <rPr>
        <b/>
        <sz val="11"/>
        <rFont val="Arial"/>
        <family val="2"/>
      </rPr>
      <t>. (décimo terceiro) salário, férias e adicional de férias</t>
    </r>
  </si>
  <si>
    <r>
      <t>13</t>
    </r>
    <r>
      <rPr>
        <vertAlign val="superscript"/>
        <sz val="11"/>
        <rFont val="Arial"/>
        <family val="2"/>
      </rPr>
      <t>o</t>
    </r>
    <r>
      <rPr>
        <sz val="11"/>
        <rFont val="Arial"/>
        <family val="2"/>
      </rPr>
      <t>. Salário, férias e adicional de férias</t>
    </r>
  </si>
  <si>
    <t>Base de cálculo: (Módulo 1 + Submódulo 2.1)</t>
  </si>
  <si>
    <t>QUADRO RESUMO DO MÓDULO 2 - Encargos e benefícios anuais, mensais e diários</t>
  </si>
  <si>
    <t>Incidência dos encargos do submódulo 2.2 sobre o Aviso Prévio Trabalhado</t>
  </si>
  <si>
    <t>[(módulo 1 + submódulo 2.1) / 30) x 7] / 12</t>
  </si>
  <si>
    <t>Multa FGTS - Conta Vinculada</t>
  </si>
  <si>
    <t>(módulo 1) x 0,04</t>
  </si>
  <si>
    <t>((módulo 1 + submódulo 2.1) / 12) x (% de ocorrência anual)</t>
  </si>
  <si>
    <t>(aviso prévio indenizado x 0,08)</t>
  </si>
  <si>
    <t>(aviso prévio trabalhado) x (percentual cotado para encargos previdenciários e FGTS do submódulo 2.2)</t>
  </si>
  <si>
    <t>Submódulo 4.2 – Intrajornada</t>
  </si>
  <si>
    <t>Multa do FGTS - Conta Vinculada</t>
  </si>
  <si>
    <t>QUADRO RESUMO DO MÓDULO 4 – Custo de reposição do profissional ausente</t>
  </si>
  <si>
    <t>_______________________________________, _______  DE  __________________________ DE 2023.</t>
  </si>
  <si>
    <t>Veículo a ser disponibilizado para serviços – DRF/Jundiaí e Agências</t>
  </si>
  <si>
    <t>Valor MENSAL ESTIMADO do serviço</t>
  </si>
  <si>
    <t>Custo Fixo (um visita mensal para cada agência jurisdicionada e deslocamentos em Jundiaí)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</si>
</sst>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R$&quot;\ * #,##0.00_-;\-&quot;R$&quot;\ * #,##0.00_-;_-&quot;R$&quot;\ * &quot;-&quot;??_-;_-@_-"/>
    <numFmt numFmtId="164" formatCode="d/m/yyyy"/>
    <numFmt numFmtId="165" formatCode="[$R$-416]\ #,##0.00;[Red]\-[$R$-416]\ #,##0.00"/>
    <numFmt numFmtId="166" formatCode="&quot; R$ &quot;#,##0.00\ ;&quot; R$ (&quot;#,##0.00\);&quot; R$ -&quot;#\ ;@\ "/>
    <numFmt numFmtId="167" formatCode="&quot;R$ &quot;#,##0.00\ ;&quot;(R$ &quot;#,##0.00\)"/>
    <numFmt numFmtId="168" formatCode="#,##0.000"/>
    <numFmt numFmtId="169" formatCode="[$R$-416]\ #,##0.000;[Red]\-[$R$-416]\ #,##0.000"/>
    <numFmt numFmtId="170" formatCode="mm/yy"/>
    <numFmt numFmtId="171" formatCode="00"/>
    <numFmt numFmtId="172" formatCode="0.000"/>
    <numFmt numFmtId="173" formatCode="0.000%"/>
    <numFmt numFmtId="174" formatCode="&quot;R$ &quot;#,##0.00"/>
    <numFmt numFmtId="175" formatCode="&quot; R$&quot;#,##0.00\ ;&quot; R$(&quot;#,##0.00\);&quot; R$-&quot;#\ ;@\ "/>
    <numFmt numFmtId="176" formatCode="#,##0_);\(#,##0\)"/>
    <numFmt numFmtId="177" formatCode="&quot;R$&quot;\ #,##0.00"/>
    <numFmt numFmtId="178" formatCode="[$-F400]h:mm:ss\ AM/PM"/>
    <numFmt numFmtId="179" formatCode="_-&quot;R$&quot;\ * #,##0.0000_-;\-&quot;R$&quot;\ * #,##0.0000_-;_-&quot;R$&quot;\ * &quot;-&quot;??_-;_-@_-"/>
    <numFmt numFmtId="180" formatCode="0.0000%"/>
  </numFmts>
  <fonts count="84" x14ac:knownFonts="1">
    <font>
      <sz val="10"/>
      <name val="Arial"/>
      <family val="2"/>
      <charset val="1"/>
    </font>
    <font>
      <sz val="10"/>
      <name val="Arial"/>
      <family val="2"/>
    </font>
    <font>
      <b/>
      <sz val="12"/>
      <name val="Times New Roman"/>
      <family val="1"/>
      <charset val="1"/>
    </font>
    <font>
      <b/>
      <sz val="10"/>
      <name val="Arial"/>
      <family val="2"/>
      <charset val="1"/>
    </font>
    <font>
      <b/>
      <sz val="9"/>
      <color indexed="56"/>
      <name val="Arial"/>
      <family val="2"/>
    </font>
    <font>
      <b/>
      <i/>
      <sz val="9"/>
      <name val="Arial"/>
      <family val="2"/>
    </font>
    <font>
      <i/>
      <sz val="9"/>
      <name val="Arial"/>
      <family val="2"/>
    </font>
    <font>
      <b/>
      <i/>
      <sz val="10"/>
      <name val="Arial"/>
      <family val="2"/>
    </font>
    <font>
      <b/>
      <sz val="10"/>
      <name val="Arial"/>
      <family val="2"/>
    </font>
    <font>
      <sz val="9"/>
      <name val="Arial"/>
      <family val="2"/>
    </font>
    <font>
      <i/>
      <sz val="9"/>
      <color indexed="54"/>
      <name val="Arial"/>
      <family val="2"/>
    </font>
    <font>
      <b/>
      <i/>
      <sz val="9"/>
      <color indexed="16"/>
      <name val="Arial"/>
      <family val="2"/>
    </font>
    <font>
      <i/>
      <sz val="10"/>
      <name val="Arial"/>
      <family val="2"/>
      <charset val="1"/>
    </font>
    <font>
      <b/>
      <sz val="9"/>
      <name val="Arial"/>
      <family val="2"/>
    </font>
    <font>
      <b/>
      <sz val="9"/>
      <color indexed="8"/>
      <name val="Arial"/>
      <family val="2"/>
    </font>
    <font>
      <sz val="11"/>
      <color indexed="8"/>
      <name val="Calibri"/>
      <family val="2"/>
    </font>
    <font>
      <sz val="9"/>
      <color indexed="8"/>
      <name val="Arial"/>
      <family val="2"/>
    </font>
    <font>
      <sz val="8"/>
      <name val="Arial"/>
      <family val="2"/>
    </font>
    <font>
      <sz val="8.5"/>
      <name val="Arial"/>
      <family val="2"/>
    </font>
    <font>
      <sz val="12"/>
      <name val="Times New Roman"/>
      <family val="1"/>
      <charset val="1"/>
    </font>
    <font>
      <sz val="12"/>
      <color indexed="9"/>
      <name val="Times New Roman"/>
      <family val="1"/>
      <charset val="1"/>
    </font>
    <font>
      <sz val="12"/>
      <color indexed="30"/>
      <name val="Times New Roman"/>
      <family val="1"/>
      <charset val="1"/>
    </font>
    <font>
      <b/>
      <sz val="12"/>
      <color indexed="30"/>
      <name val="Times New Roman"/>
      <family val="1"/>
      <charset val="1"/>
    </font>
    <font>
      <b/>
      <i/>
      <sz val="12"/>
      <name val="Times New Roman"/>
      <family val="1"/>
      <charset val="1"/>
    </font>
    <font>
      <b/>
      <i/>
      <u/>
      <sz val="12"/>
      <name val="Times New Roman"/>
      <family val="1"/>
      <charset val="1"/>
    </font>
    <font>
      <i/>
      <sz val="12"/>
      <name val="Times New Roman"/>
      <family val="1"/>
      <charset val="1"/>
    </font>
    <font>
      <i/>
      <sz val="10.5"/>
      <name val="Times New Roman"/>
      <family val="1"/>
      <charset val="1"/>
    </font>
    <font>
      <sz val="12"/>
      <color indexed="8"/>
      <name val="Times New Roman"/>
      <family val="1"/>
      <charset val="1"/>
    </font>
    <font>
      <sz val="11"/>
      <color indexed="8"/>
      <name val="Times New Roman"/>
      <family val="1"/>
      <charset val="1"/>
    </font>
    <font>
      <sz val="11"/>
      <name val="Times New Roman"/>
      <family val="1"/>
      <charset val="1"/>
    </font>
    <font>
      <sz val="12"/>
      <color indexed="56"/>
      <name val="Times New Roman"/>
      <family val="1"/>
      <charset val="1"/>
    </font>
    <font>
      <b/>
      <sz val="10"/>
      <name val="Arial"/>
      <family val="1"/>
      <charset val="1"/>
    </font>
    <font>
      <b/>
      <vertAlign val="superscript"/>
      <sz val="10"/>
      <name val="Arial"/>
      <family val="1"/>
      <charset val="1"/>
    </font>
    <font>
      <vertAlign val="superscript"/>
      <sz val="10"/>
      <name val="Arial"/>
      <family val="1"/>
      <charset val="1"/>
    </font>
    <font>
      <sz val="10"/>
      <name val="Arial"/>
      <family val="1"/>
      <charset val="1"/>
    </font>
    <font>
      <b/>
      <i/>
      <sz val="12"/>
      <color indexed="8"/>
      <name val="Times New Roman"/>
      <family val="1"/>
      <charset val="1"/>
    </font>
    <font>
      <b/>
      <sz val="11"/>
      <name val="Times New Roman"/>
      <family val="1"/>
      <charset val="1"/>
    </font>
    <font>
      <i/>
      <sz val="12"/>
      <color indexed="30"/>
      <name val="Times New Roman"/>
      <family val="1"/>
      <charset val="1"/>
    </font>
    <font>
      <i/>
      <sz val="12"/>
      <color indexed="54"/>
      <name val="Times New Roman"/>
      <family val="1"/>
      <charset val="1"/>
    </font>
    <font>
      <b/>
      <i/>
      <sz val="12"/>
      <color indexed="54"/>
      <name val="Times New Roman"/>
      <family val="1"/>
      <charset val="1"/>
    </font>
    <font>
      <b/>
      <u/>
      <sz val="12"/>
      <name val="Times New Roman"/>
      <family val="1"/>
      <charset val="1"/>
    </font>
    <font>
      <b/>
      <sz val="10.5"/>
      <name val="Times New Roman"/>
      <family val="1"/>
      <charset val="1"/>
    </font>
    <font>
      <sz val="11"/>
      <name val="Arial"/>
      <family val="2"/>
    </font>
    <font>
      <b/>
      <u/>
      <sz val="10"/>
      <name val="Arial"/>
      <family val="2"/>
    </font>
    <font>
      <i/>
      <u/>
      <sz val="12"/>
      <name val="Times New Roman"/>
      <family val="1"/>
      <charset val="1"/>
    </font>
    <font>
      <b/>
      <u/>
      <sz val="9"/>
      <name val="Arial"/>
      <family val="2"/>
    </font>
    <font>
      <u/>
      <sz val="10"/>
      <name val="Arial"/>
      <family val="2"/>
    </font>
    <font>
      <b/>
      <sz val="13"/>
      <color indexed="10"/>
      <name val="Arial"/>
      <family val="2"/>
    </font>
    <font>
      <sz val="13"/>
      <color indexed="10"/>
      <name val="Arial"/>
      <family val="2"/>
    </font>
    <font>
      <b/>
      <u/>
      <sz val="13"/>
      <color indexed="10"/>
      <name val="Arial"/>
      <family val="2"/>
    </font>
    <font>
      <sz val="10"/>
      <name val="Arial"/>
      <family val="2"/>
      <charset val="1"/>
    </font>
    <font>
      <b/>
      <sz val="11"/>
      <name val="Arial"/>
      <family val="2"/>
    </font>
    <font>
      <sz val="10"/>
      <color rgb="FF000000"/>
      <name val="Arial"/>
      <family val="2"/>
    </font>
    <font>
      <i/>
      <sz val="10"/>
      <name val="Arial"/>
      <family val="2"/>
    </font>
    <font>
      <b/>
      <sz val="12"/>
      <name val="Arial"/>
      <family val="2"/>
    </font>
    <font>
      <sz val="12"/>
      <name val="Arial"/>
      <family val="2"/>
    </font>
    <font>
      <sz val="12"/>
      <color indexed="9"/>
      <name val="Arial"/>
      <family val="2"/>
    </font>
    <font>
      <b/>
      <i/>
      <sz val="12"/>
      <name val="Arial"/>
      <family val="2"/>
    </font>
    <font>
      <sz val="11"/>
      <color indexed="8"/>
      <name val="Arial"/>
      <family val="2"/>
    </font>
    <font>
      <b/>
      <u/>
      <sz val="12"/>
      <name val="Arial"/>
      <family val="2"/>
    </font>
    <font>
      <b/>
      <u/>
      <sz val="14"/>
      <name val="Arial"/>
      <family val="2"/>
    </font>
    <font>
      <b/>
      <sz val="13"/>
      <name val="Arial"/>
      <family val="2"/>
    </font>
    <font>
      <b/>
      <sz val="11"/>
      <color indexed="30"/>
      <name val="Arial"/>
      <family val="2"/>
    </font>
    <font>
      <b/>
      <i/>
      <sz val="11"/>
      <name val="Arial"/>
      <family val="2"/>
    </font>
    <font>
      <b/>
      <i/>
      <u/>
      <sz val="11"/>
      <name val="Arial"/>
      <family val="2"/>
    </font>
    <font>
      <i/>
      <sz val="11"/>
      <name val="Arial"/>
      <family val="2"/>
    </font>
    <font>
      <b/>
      <vertAlign val="superscript"/>
      <sz val="11"/>
      <name val="Arial"/>
      <family val="2"/>
    </font>
    <font>
      <vertAlign val="superscript"/>
      <sz val="11"/>
      <name val="Arial"/>
      <family val="2"/>
    </font>
    <font>
      <u/>
      <sz val="11"/>
      <color indexed="8"/>
      <name val="Arial"/>
      <family val="2"/>
    </font>
    <font>
      <b/>
      <u/>
      <sz val="11"/>
      <name val="Arial"/>
      <family val="2"/>
    </font>
    <font>
      <b/>
      <u/>
      <sz val="11"/>
      <color indexed="8"/>
      <name val="Arial"/>
      <family val="2"/>
    </font>
    <font>
      <b/>
      <u val="singleAccounting"/>
      <sz val="11"/>
      <name val="Arial"/>
      <family val="2"/>
    </font>
    <font>
      <sz val="9"/>
      <color indexed="81"/>
      <name val="Segoe UI"/>
      <family val="2"/>
    </font>
    <font>
      <b/>
      <sz val="9"/>
      <color indexed="81"/>
      <name val="Segoe UI"/>
      <family val="2"/>
    </font>
    <font>
      <sz val="11"/>
      <color theme="0"/>
      <name val="Arial"/>
      <family val="2"/>
    </font>
    <font>
      <b/>
      <sz val="10"/>
      <color indexed="21"/>
      <name val="Arial"/>
      <family val="2"/>
    </font>
    <font>
      <sz val="10"/>
      <color theme="1"/>
      <name val="Arial"/>
      <family val="2"/>
    </font>
    <font>
      <b/>
      <sz val="8"/>
      <color indexed="8"/>
      <name val="Arial"/>
      <family val="2"/>
    </font>
    <font>
      <sz val="9"/>
      <color indexed="56"/>
      <name val="Arial"/>
      <family val="2"/>
    </font>
    <font>
      <b/>
      <sz val="10"/>
      <color indexed="56"/>
      <name val="Arial"/>
      <family val="2"/>
    </font>
    <font>
      <i/>
      <sz val="11"/>
      <color indexed="30"/>
      <name val="Arial"/>
      <family val="2"/>
    </font>
    <font>
      <sz val="11"/>
      <color indexed="54"/>
      <name val="Arial"/>
      <family val="2"/>
    </font>
    <font>
      <b/>
      <sz val="11"/>
      <color indexed="54"/>
      <name val="Arial"/>
      <family val="2"/>
    </font>
    <font>
      <sz val="11"/>
      <color indexed="30"/>
      <name val="Arial"/>
      <family val="2"/>
    </font>
  </fonts>
  <fills count="30">
    <fill>
      <patternFill patternType="none"/>
    </fill>
    <fill>
      <patternFill patternType="gray125"/>
    </fill>
    <fill>
      <patternFill patternType="solid">
        <fgColor indexed="9"/>
        <bgColor indexed="26"/>
      </patternFill>
    </fill>
    <fill>
      <patternFill patternType="solid">
        <fgColor indexed="49"/>
        <bgColor indexed="24"/>
      </patternFill>
    </fill>
    <fill>
      <patternFill patternType="solid">
        <fgColor indexed="26"/>
        <bgColor indexed="42"/>
      </patternFill>
    </fill>
    <fill>
      <patternFill patternType="solid">
        <fgColor indexed="13"/>
        <bgColor indexed="34"/>
      </patternFill>
    </fill>
    <fill>
      <patternFill patternType="solid">
        <fgColor indexed="22"/>
        <bgColor indexed="31"/>
      </patternFill>
    </fill>
    <fill>
      <patternFill patternType="solid">
        <fgColor indexed="42"/>
        <bgColor indexed="26"/>
      </patternFill>
    </fill>
    <fill>
      <patternFill patternType="solid">
        <fgColor indexed="41"/>
        <bgColor indexed="42"/>
      </patternFill>
    </fill>
    <fill>
      <patternFill patternType="solid">
        <fgColor indexed="31"/>
        <bgColor indexed="42"/>
      </patternFill>
    </fill>
    <fill>
      <patternFill patternType="solid">
        <fgColor indexed="27"/>
        <bgColor indexed="26"/>
      </patternFill>
    </fill>
    <fill>
      <patternFill patternType="solid">
        <fgColor indexed="44"/>
        <bgColor indexed="24"/>
      </patternFill>
    </fill>
    <fill>
      <patternFill patternType="solid">
        <fgColor indexed="24"/>
        <bgColor indexed="44"/>
      </patternFill>
    </fill>
    <fill>
      <patternFill patternType="solid">
        <fgColor theme="0"/>
        <bgColor indexed="42"/>
      </patternFill>
    </fill>
    <fill>
      <patternFill patternType="solid">
        <fgColor theme="0"/>
        <bgColor indexed="34"/>
      </patternFill>
    </fill>
    <fill>
      <patternFill patternType="solid">
        <fgColor theme="0"/>
        <bgColor indexed="64"/>
      </patternFill>
    </fill>
    <fill>
      <patternFill patternType="solid">
        <fgColor theme="0"/>
        <bgColor indexed="27"/>
      </patternFill>
    </fill>
    <fill>
      <patternFill patternType="solid">
        <fgColor theme="4" tint="0.59999389629810485"/>
        <bgColor indexed="64"/>
      </patternFill>
    </fill>
    <fill>
      <patternFill patternType="solid">
        <fgColor theme="4" tint="0.59999389629810485"/>
        <bgColor indexed="27"/>
      </patternFill>
    </fill>
    <fill>
      <patternFill patternType="solid">
        <fgColor theme="8"/>
        <bgColor indexed="26"/>
      </patternFill>
    </fill>
    <fill>
      <patternFill patternType="solid">
        <fgColor theme="4"/>
        <bgColor indexed="64"/>
      </patternFill>
    </fill>
    <fill>
      <patternFill patternType="solid">
        <fgColor theme="4"/>
        <bgColor indexed="38"/>
      </patternFill>
    </fill>
    <fill>
      <patternFill patternType="solid">
        <fgColor theme="4"/>
        <bgColor indexed="24"/>
      </patternFill>
    </fill>
    <fill>
      <patternFill patternType="solid">
        <fgColor rgb="FFFFFF00"/>
        <bgColor indexed="34"/>
      </patternFill>
    </fill>
    <fill>
      <patternFill patternType="solid">
        <fgColor theme="4" tint="0.79998168889431442"/>
        <bgColor indexed="26"/>
      </patternFill>
    </fill>
    <fill>
      <patternFill patternType="solid">
        <fgColor theme="4" tint="0.79998168889431442"/>
        <bgColor indexed="64"/>
      </patternFill>
    </fill>
    <fill>
      <patternFill patternType="solid">
        <fgColor theme="0"/>
        <bgColor indexed="26"/>
      </patternFill>
    </fill>
    <fill>
      <patternFill patternType="solid">
        <fgColor theme="2"/>
        <bgColor indexed="64"/>
      </patternFill>
    </fill>
    <fill>
      <patternFill patternType="solid">
        <fgColor theme="7" tint="0.59999389629810485"/>
        <bgColor indexed="64"/>
      </patternFill>
    </fill>
    <fill>
      <patternFill patternType="solid">
        <fgColor theme="2"/>
        <bgColor indexed="27"/>
      </patternFill>
    </fill>
  </fills>
  <borders count="219">
    <border>
      <left/>
      <right/>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right style="hair">
        <color indexed="8"/>
      </right>
      <top/>
      <bottom/>
      <diagonal/>
    </border>
    <border>
      <left style="thin">
        <color indexed="8"/>
      </left>
      <right/>
      <top style="thin">
        <color indexed="8"/>
      </top>
      <bottom style="thin">
        <color indexed="8"/>
      </bottom>
      <diagonal/>
    </border>
    <border>
      <left style="hair">
        <color indexed="8"/>
      </left>
      <right/>
      <top style="thin">
        <color indexed="56"/>
      </top>
      <bottom style="thin">
        <color indexed="56"/>
      </bottom>
      <diagonal/>
    </border>
    <border>
      <left/>
      <right/>
      <top style="thin">
        <color indexed="56"/>
      </top>
      <bottom style="thin">
        <color indexed="56"/>
      </bottom>
      <diagonal/>
    </border>
    <border>
      <left style="hair">
        <color indexed="8"/>
      </left>
      <right/>
      <top/>
      <bottom/>
      <diagonal/>
    </border>
    <border>
      <left style="hair">
        <color indexed="8"/>
      </left>
      <right style="thin">
        <color indexed="8"/>
      </right>
      <top style="thin">
        <color indexed="8"/>
      </top>
      <bottom style="thin">
        <color indexed="8"/>
      </bottom>
      <diagonal/>
    </border>
    <border>
      <left/>
      <right style="hair">
        <color indexed="8"/>
      </right>
      <top style="thin">
        <color indexed="56"/>
      </top>
      <bottom style="thin">
        <color indexed="56"/>
      </bottom>
      <diagonal/>
    </border>
    <border>
      <left/>
      <right/>
      <top/>
      <bottom style="thin">
        <color indexed="56"/>
      </bottom>
      <diagonal/>
    </border>
    <border>
      <left style="hair">
        <color indexed="8"/>
      </left>
      <right style="thin">
        <color indexed="8"/>
      </right>
      <top style="thin">
        <color indexed="8"/>
      </top>
      <bottom/>
      <diagonal/>
    </border>
    <border>
      <left/>
      <right/>
      <top style="thin">
        <color indexed="56"/>
      </top>
      <bottom/>
      <diagonal/>
    </border>
    <border>
      <left style="thin">
        <color indexed="8"/>
      </left>
      <right style="hair">
        <color indexed="8"/>
      </right>
      <top style="thin">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style="thin">
        <color indexed="56"/>
      </top>
      <bottom/>
      <diagonal/>
    </border>
    <border>
      <left style="hair">
        <color indexed="8"/>
      </left>
      <right/>
      <top style="hair">
        <color indexed="8"/>
      </top>
      <bottom style="hair">
        <color indexed="8"/>
      </bottom>
      <diagonal/>
    </border>
    <border>
      <left style="hair">
        <color indexed="8"/>
      </left>
      <right/>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hair">
        <color indexed="8"/>
      </right>
      <top style="thin">
        <color indexed="56"/>
      </top>
      <bottom style="thin">
        <color indexed="56"/>
      </bottom>
      <diagonal/>
    </border>
    <border>
      <left style="hair">
        <color indexed="8"/>
      </left>
      <right/>
      <top style="hair">
        <color indexed="8"/>
      </top>
      <bottom style="thin">
        <color indexed="56"/>
      </bottom>
      <diagonal/>
    </border>
    <border>
      <left style="thin">
        <color indexed="56"/>
      </left>
      <right style="thin">
        <color indexed="56"/>
      </right>
      <top/>
      <bottom style="thin">
        <color indexed="56"/>
      </bottom>
      <diagonal/>
    </border>
    <border>
      <left style="thin">
        <color indexed="56"/>
      </left>
      <right/>
      <top/>
      <bottom style="thin">
        <color indexed="56"/>
      </bottom>
      <diagonal/>
    </border>
    <border>
      <left style="hair">
        <color indexed="8"/>
      </left>
      <right style="hair">
        <color indexed="8"/>
      </right>
      <top style="hair">
        <color indexed="8"/>
      </top>
      <bottom style="thin">
        <color indexed="8"/>
      </bottom>
      <diagonal/>
    </border>
    <border>
      <left style="thin">
        <color indexed="8"/>
      </left>
      <right style="thin">
        <color indexed="8"/>
      </right>
      <top style="thin">
        <color indexed="8"/>
      </top>
      <bottom/>
      <diagonal/>
    </border>
    <border>
      <left style="hair">
        <color indexed="8"/>
      </left>
      <right style="hair">
        <color indexed="8"/>
      </right>
      <top style="hair">
        <color indexed="8"/>
      </top>
      <bottom/>
      <diagonal/>
    </border>
    <border>
      <left/>
      <right style="thin">
        <color indexed="8"/>
      </right>
      <top style="thin">
        <color indexed="8"/>
      </top>
      <bottom style="thin">
        <color indexed="8"/>
      </bottom>
      <diagonal/>
    </border>
    <border>
      <left style="hair">
        <color indexed="8"/>
      </left>
      <right style="hair">
        <color indexed="8"/>
      </right>
      <top style="thin">
        <color indexed="56"/>
      </top>
      <bottom/>
      <diagonal/>
    </border>
    <border>
      <left style="hair">
        <color indexed="8"/>
      </left>
      <right style="hair">
        <color indexed="8"/>
      </right>
      <top/>
      <bottom/>
      <diagonal/>
    </border>
    <border>
      <left style="hair">
        <color indexed="8"/>
      </left>
      <right style="hair">
        <color indexed="8"/>
      </right>
      <top style="thin">
        <color indexed="8"/>
      </top>
      <bottom style="thin">
        <color indexed="8"/>
      </bottom>
      <diagonal/>
    </border>
    <border>
      <left style="hair">
        <color indexed="8"/>
      </left>
      <right style="hair">
        <color indexed="8"/>
      </right>
      <top/>
      <bottom style="thin">
        <color indexed="56"/>
      </bottom>
      <diagonal/>
    </border>
    <border>
      <left style="hair">
        <color indexed="8"/>
      </left>
      <right style="hair">
        <color indexed="8"/>
      </right>
      <top/>
      <bottom style="hair">
        <color indexed="8"/>
      </bottom>
      <diagonal/>
    </border>
    <border>
      <left style="hair">
        <color indexed="8"/>
      </left>
      <right style="hair">
        <color indexed="8"/>
      </right>
      <top style="thin">
        <color indexed="56"/>
      </top>
      <bottom style="thin">
        <color indexed="56"/>
      </bottom>
      <diagonal/>
    </border>
    <border>
      <left style="hair">
        <color indexed="8"/>
      </left>
      <right style="thin">
        <color indexed="56"/>
      </right>
      <top style="thin">
        <color indexed="56"/>
      </top>
      <bottom style="thin">
        <color indexed="56"/>
      </bottom>
      <diagonal/>
    </border>
    <border>
      <left/>
      <right style="hair">
        <color indexed="8"/>
      </right>
      <top style="hair">
        <color indexed="8"/>
      </top>
      <bottom style="thin">
        <color indexed="56"/>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hair">
        <color indexed="8"/>
      </left>
      <right style="medium">
        <color indexed="64"/>
      </right>
      <top style="hair">
        <color indexed="8"/>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8"/>
      </left>
      <right/>
      <top style="thin">
        <color indexed="8"/>
      </top>
      <bottom/>
      <diagonal/>
    </border>
    <border>
      <left style="thin">
        <color indexed="8"/>
      </left>
      <right/>
      <top style="medium">
        <color indexed="64"/>
      </top>
      <bottom style="medium">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diagonal/>
    </border>
    <border>
      <left/>
      <right style="medium">
        <color indexed="64"/>
      </right>
      <top style="medium">
        <color indexed="64"/>
      </top>
      <bottom style="medium">
        <color indexed="64"/>
      </bottom>
      <diagonal/>
    </border>
    <border>
      <left/>
      <right style="medium">
        <color indexed="64"/>
      </right>
      <top/>
      <bottom style="thin">
        <color indexed="8"/>
      </bottom>
      <diagonal/>
    </border>
    <border>
      <left/>
      <right style="medium">
        <color indexed="64"/>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style="thin">
        <color indexed="8"/>
      </bottom>
      <diagonal/>
    </border>
    <border>
      <left/>
      <right style="medium">
        <color indexed="64"/>
      </right>
      <top style="medium">
        <color indexed="64"/>
      </top>
      <bottom style="thin">
        <color indexed="8"/>
      </bottom>
      <diagonal/>
    </border>
    <border>
      <left style="hair">
        <color indexed="8"/>
      </left>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8"/>
      </left>
      <right/>
      <top style="thin">
        <color indexed="8"/>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56"/>
      </right>
      <top style="medium">
        <color indexed="64"/>
      </top>
      <bottom style="medium">
        <color indexed="64"/>
      </bottom>
      <diagonal/>
    </border>
    <border>
      <left/>
      <right style="thin">
        <color indexed="56"/>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hair">
        <color indexed="8"/>
      </right>
      <top style="hair">
        <color indexed="8"/>
      </top>
      <bottom style="medium">
        <color indexed="64"/>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medium">
        <color indexed="64"/>
      </top>
      <bottom style="medium">
        <color indexed="64"/>
      </bottom>
      <diagonal/>
    </border>
    <border>
      <left/>
      <right/>
      <top style="thin">
        <color indexed="56"/>
      </top>
      <bottom style="thin">
        <color indexed="56"/>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top style="thin">
        <color indexed="8"/>
      </top>
      <bottom style="thin">
        <color indexed="8"/>
      </bottom>
      <diagonal/>
    </border>
    <border>
      <left/>
      <right/>
      <top/>
      <bottom style="thin">
        <color indexed="56"/>
      </bottom>
      <diagonal/>
    </border>
    <border>
      <left/>
      <right style="hair">
        <color indexed="8"/>
      </right>
      <top style="thin">
        <color indexed="56"/>
      </top>
      <bottom/>
      <diagonal/>
    </border>
    <border>
      <left style="thin">
        <color indexed="8"/>
      </left>
      <right/>
      <top style="thin">
        <color indexed="56"/>
      </top>
      <bottom/>
      <diagonal/>
    </border>
    <border>
      <left/>
      <right/>
      <top style="thin">
        <color indexed="56"/>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style="hair">
        <color indexed="8"/>
      </right>
      <top style="medium">
        <color indexed="64"/>
      </top>
      <bottom style="thin">
        <color indexed="8"/>
      </bottom>
      <diagonal/>
    </border>
    <border>
      <left style="hair">
        <color indexed="8"/>
      </left>
      <right style="hair">
        <color indexed="8"/>
      </right>
      <top style="medium">
        <color indexed="64"/>
      </top>
      <bottom style="thin">
        <color indexed="8"/>
      </bottom>
      <diagonal/>
    </border>
    <border>
      <left style="hair">
        <color indexed="8"/>
      </left>
      <right style="medium">
        <color indexed="64"/>
      </right>
      <top style="medium">
        <color indexed="64"/>
      </top>
      <bottom style="thin">
        <color indexed="8"/>
      </bottom>
      <diagonal/>
    </border>
    <border>
      <left style="medium">
        <color indexed="64"/>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thin">
        <color indexed="8"/>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thin">
        <color indexed="8"/>
      </left>
      <right style="medium">
        <color indexed="64"/>
      </right>
      <top style="medium">
        <color indexed="64"/>
      </top>
      <bottom style="medium">
        <color indexed="64"/>
      </bottom>
      <diagonal/>
    </border>
    <border>
      <left style="medium">
        <color indexed="64"/>
      </left>
      <right/>
      <top/>
      <bottom style="thin">
        <color indexed="56"/>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hair">
        <color indexed="8"/>
      </left>
      <right style="thin">
        <color indexed="8"/>
      </right>
      <top style="medium">
        <color indexed="64"/>
      </top>
      <bottom style="medium">
        <color indexed="64"/>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8"/>
      </bottom>
      <diagonal/>
    </border>
    <border>
      <left style="medium">
        <color indexed="64"/>
      </left>
      <right style="thin">
        <color indexed="8"/>
      </right>
      <top/>
      <bottom style="medium">
        <color indexed="64"/>
      </bottom>
      <diagonal/>
    </border>
    <border>
      <left/>
      <right style="thin">
        <color indexed="8"/>
      </right>
      <top style="medium">
        <color indexed="64"/>
      </top>
      <bottom style="medium">
        <color indexed="64"/>
      </bottom>
      <diagonal/>
    </border>
    <border>
      <left/>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top/>
      <bottom style="hair">
        <color indexed="8"/>
      </bottom>
      <diagonal/>
    </border>
    <border>
      <left/>
      <right style="hair">
        <color indexed="8"/>
      </right>
      <top/>
      <bottom style="hair">
        <color indexed="8"/>
      </bottom>
      <diagonal/>
    </border>
    <border>
      <left style="thin">
        <color indexed="8"/>
      </left>
      <right style="medium">
        <color indexed="64"/>
      </right>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hair">
        <color indexed="8"/>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hair">
        <color indexed="8"/>
      </right>
      <top style="thin">
        <color indexed="8"/>
      </top>
      <bottom/>
      <diagonal/>
    </border>
    <border>
      <left style="hair">
        <color indexed="8"/>
      </left>
      <right/>
      <top style="thin">
        <color indexed="56"/>
      </top>
      <bottom/>
      <diagonal/>
    </border>
    <border>
      <left style="hair">
        <color indexed="8"/>
      </left>
      <right/>
      <top/>
      <bottom style="thin">
        <color indexed="56"/>
      </bottom>
      <diagonal/>
    </border>
    <border>
      <left style="hair">
        <color indexed="8"/>
      </left>
      <right style="hair">
        <color indexed="8"/>
      </right>
      <top/>
      <bottom style="thin">
        <color indexed="56"/>
      </bottom>
      <diagonal/>
    </border>
    <border>
      <left style="medium">
        <color indexed="64"/>
      </left>
      <right/>
      <top style="thin">
        <color indexed="56"/>
      </top>
      <bottom style="thin">
        <color indexed="56"/>
      </bottom>
      <diagonal/>
    </border>
    <border>
      <left style="medium">
        <color indexed="64"/>
      </left>
      <right/>
      <top style="thin">
        <color indexed="56"/>
      </top>
      <bottom/>
      <diagonal/>
    </border>
    <border>
      <left style="medium">
        <color indexed="64"/>
      </left>
      <right style="thin">
        <color indexed="56"/>
      </right>
      <top style="thin">
        <color indexed="56"/>
      </top>
      <bottom/>
      <diagonal/>
    </border>
    <border>
      <left style="hair">
        <color indexed="8"/>
      </left>
      <right style="thin">
        <color indexed="56"/>
      </right>
      <top style="thin">
        <color indexed="56"/>
      </top>
      <bottom/>
      <diagonal/>
    </border>
    <border>
      <left style="thin">
        <color indexed="56"/>
      </left>
      <right style="thin">
        <color indexed="56"/>
      </right>
      <top style="thin">
        <color indexed="56"/>
      </top>
      <bottom/>
      <diagonal/>
    </border>
    <border>
      <left style="thin">
        <color indexed="56"/>
      </left>
      <right style="medium">
        <color indexed="64"/>
      </right>
      <top style="thin">
        <color indexed="56"/>
      </top>
      <bottom/>
      <diagonal/>
    </border>
    <border>
      <left style="hair">
        <color indexed="8"/>
      </left>
      <right style="thin">
        <color indexed="56"/>
      </right>
      <top style="medium">
        <color indexed="64"/>
      </top>
      <bottom style="medium">
        <color indexed="64"/>
      </bottom>
      <diagonal/>
    </border>
    <border>
      <left style="thin">
        <color indexed="56"/>
      </left>
      <right style="medium">
        <color indexed="64"/>
      </right>
      <top style="medium">
        <color indexed="64"/>
      </top>
      <bottom style="medium">
        <color indexed="64"/>
      </bottom>
      <diagonal/>
    </border>
    <border>
      <left style="medium">
        <color indexed="64"/>
      </left>
      <right style="thin">
        <color indexed="56"/>
      </right>
      <top/>
      <bottom style="thin">
        <color indexed="56"/>
      </bottom>
      <diagonal/>
    </border>
    <border>
      <left style="hair">
        <color indexed="8"/>
      </left>
      <right style="thin">
        <color indexed="56"/>
      </right>
      <top/>
      <bottom style="thin">
        <color indexed="56"/>
      </bottom>
      <diagonal/>
    </border>
    <border>
      <left style="thin">
        <color indexed="56"/>
      </left>
      <right style="thin">
        <color indexed="56"/>
      </right>
      <top/>
      <bottom style="thin">
        <color indexed="56"/>
      </bottom>
      <diagonal/>
    </border>
    <border>
      <left style="thin">
        <color indexed="56"/>
      </left>
      <right style="medium">
        <color indexed="64"/>
      </right>
      <top/>
      <bottom style="thin">
        <color indexed="56"/>
      </bottom>
      <diagonal/>
    </border>
    <border>
      <left style="hair">
        <color indexed="8"/>
      </left>
      <right style="hair">
        <color indexed="8"/>
      </right>
      <top/>
      <bottom style="thin">
        <color indexed="8"/>
      </bottom>
      <diagonal/>
    </border>
    <border>
      <left style="medium">
        <color indexed="64"/>
      </left>
      <right style="hair">
        <color indexed="8"/>
      </right>
      <top/>
      <bottom style="thin">
        <color indexed="8"/>
      </bottom>
      <diagonal/>
    </border>
    <border>
      <left style="hair">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medium">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hair">
        <color indexed="8"/>
      </left>
      <right/>
      <top/>
      <bottom style="thin">
        <color indexed="8"/>
      </bottom>
      <diagonal/>
    </border>
    <border>
      <left style="medium">
        <color indexed="64"/>
      </left>
      <right style="thin">
        <color indexed="56"/>
      </right>
      <top style="thin">
        <color indexed="56"/>
      </top>
      <bottom style="thin">
        <color indexed="56"/>
      </bottom>
      <diagonal/>
    </border>
    <border>
      <left style="hair">
        <color indexed="8"/>
      </left>
      <right style="thin">
        <color indexed="56"/>
      </right>
      <top style="thin">
        <color indexed="56"/>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medium">
        <color indexed="64"/>
      </right>
      <top style="thin">
        <color indexed="56"/>
      </top>
      <bottom style="thin">
        <color indexed="56"/>
      </bottom>
      <diagonal/>
    </border>
  </borders>
  <cellStyleXfs count="5">
    <xf numFmtId="0" fontId="0" fillId="0" borderId="0"/>
    <xf numFmtId="0" fontId="15" fillId="0" borderId="0"/>
    <xf numFmtId="166" fontId="50" fillId="0" borderId="0"/>
    <xf numFmtId="0" fontId="1" fillId="0" borderId="0"/>
    <xf numFmtId="9" fontId="50" fillId="0" borderId="0"/>
  </cellStyleXfs>
  <cellXfs count="1101">
    <xf numFmtId="0" fontId="0" fillId="0" borderId="0" xfId="0"/>
    <xf numFmtId="0" fontId="0" fillId="2" borderId="0" xfId="0" applyFill="1"/>
    <xf numFmtId="0" fontId="2" fillId="0" borderId="1" xfId="0" applyFont="1" applyBorder="1" applyAlignment="1">
      <alignment vertical="center"/>
    </xf>
    <xf numFmtId="0" fontId="2" fillId="0" borderId="1" xfId="0" applyFont="1" applyBorder="1" applyAlignment="1">
      <alignment horizontal="center" vertical="center"/>
    </xf>
    <xf numFmtId="37" fontId="1" fillId="0" borderId="1" xfId="2" applyNumberFormat="1" applyFont="1" applyBorder="1" applyAlignment="1">
      <alignment horizontal="center" vertical="center"/>
    </xf>
    <xf numFmtId="37" fontId="1" fillId="0" borderId="4" xfId="2" applyNumberFormat="1" applyFont="1" applyBorder="1" applyAlignment="1">
      <alignment horizontal="center" vertical="center"/>
    </xf>
    <xf numFmtId="0" fontId="13" fillId="2" borderId="0" xfId="0" applyFont="1" applyFill="1" applyAlignment="1" applyProtection="1">
      <alignment horizontal="center"/>
      <protection locked="0"/>
    </xf>
    <xf numFmtId="0" fontId="16" fillId="2" borderId="0" xfId="1" applyFont="1" applyFill="1" applyProtection="1">
      <protection locked="0"/>
    </xf>
    <xf numFmtId="169" fontId="16" fillId="2" borderId="0" xfId="1" applyNumberFormat="1" applyFont="1" applyFill="1" applyProtection="1">
      <protection locked="0"/>
    </xf>
    <xf numFmtId="0" fontId="9" fillId="2" borderId="0" xfId="0" applyFont="1" applyFill="1" applyAlignment="1" applyProtection="1">
      <alignment horizontal="center" wrapText="1"/>
      <protection locked="0"/>
    </xf>
    <xf numFmtId="0" fontId="9" fillId="2" borderId="0" xfId="0" applyFont="1" applyFill="1" applyAlignment="1" applyProtection="1">
      <alignment horizontal="center"/>
      <protection locked="0"/>
    </xf>
    <xf numFmtId="165" fontId="13" fillId="2" borderId="0" xfId="0" applyNumberFormat="1" applyFont="1" applyFill="1" applyAlignment="1" applyProtection="1">
      <alignment horizontal="center"/>
      <protection locked="0"/>
    </xf>
    <xf numFmtId="0" fontId="9" fillId="2" borderId="0" xfId="0" applyFont="1" applyFill="1" applyProtection="1">
      <protection locked="0"/>
    </xf>
    <xf numFmtId="0" fontId="9" fillId="2" borderId="0" xfId="0" applyFont="1" applyFill="1" applyAlignment="1" applyProtection="1">
      <alignment horizontal="left"/>
      <protection locked="0"/>
    </xf>
    <xf numFmtId="169" fontId="13" fillId="2" borderId="0" xfId="0" applyNumberFormat="1" applyFont="1" applyFill="1" applyAlignment="1">
      <alignment horizontal="right"/>
    </xf>
    <xf numFmtId="0" fontId="3" fillId="2" borderId="0" xfId="0" applyFont="1" applyFill="1"/>
    <xf numFmtId="0" fontId="14" fillId="2" borderId="0" xfId="1" applyFont="1" applyFill="1" applyAlignment="1" applyProtection="1">
      <alignment horizontal="center" vertical="center" wrapText="1"/>
      <protection locked="0"/>
    </xf>
    <xf numFmtId="0" fontId="14" fillId="2" borderId="0" xfId="1" applyFont="1" applyFill="1" applyAlignment="1">
      <alignment horizontal="center" vertical="center" wrapText="1"/>
    </xf>
    <xf numFmtId="165" fontId="7" fillId="5" borderId="1" xfId="0" applyNumberFormat="1" applyFont="1" applyFill="1" applyBorder="1" applyAlignment="1" applyProtection="1">
      <alignment horizontal="center" vertical="center"/>
      <protection locked="0" hidden="1"/>
    </xf>
    <xf numFmtId="0" fontId="19" fillId="0" borderId="0" xfId="0" applyFont="1" applyAlignment="1">
      <alignment vertical="center"/>
    </xf>
    <xf numFmtId="0" fontId="19" fillId="2" borderId="0" xfId="0" applyFont="1" applyFill="1" applyAlignment="1">
      <alignment vertical="center"/>
    </xf>
    <xf numFmtId="0" fontId="2" fillId="10" borderId="5" xfId="0" applyFont="1" applyFill="1" applyBorder="1" applyAlignment="1">
      <alignment vertical="center"/>
    </xf>
    <xf numFmtId="0" fontId="19" fillId="2" borderId="6" xfId="0" applyFont="1" applyFill="1" applyBorder="1" applyAlignment="1">
      <alignment vertical="center"/>
    </xf>
    <xf numFmtId="0" fontId="21" fillId="2" borderId="6" xfId="0" applyFont="1" applyFill="1" applyBorder="1" applyAlignment="1">
      <alignment vertical="center"/>
    </xf>
    <xf numFmtId="0" fontId="2" fillId="10" borderId="6" xfId="0" applyFont="1" applyFill="1" applyBorder="1" applyAlignment="1">
      <alignment vertical="center"/>
    </xf>
    <xf numFmtId="0" fontId="20" fillId="2" borderId="7" xfId="0" applyFont="1" applyFill="1" applyBorder="1" applyAlignment="1">
      <alignment vertical="center"/>
    </xf>
    <xf numFmtId="0" fontId="20" fillId="2" borderId="0" xfId="0" applyFont="1" applyFill="1" applyAlignment="1">
      <alignment vertical="center"/>
    </xf>
    <xf numFmtId="0" fontId="19" fillId="2" borderId="7" xfId="0" applyFont="1" applyFill="1" applyBorder="1" applyAlignment="1">
      <alignment vertical="center"/>
    </xf>
    <xf numFmtId="0" fontId="19" fillId="2" borderId="3" xfId="0" applyFont="1" applyFill="1" applyBorder="1" applyAlignment="1">
      <alignment vertical="center"/>
    </xf>
    <xf numFmtId="0" fontId="22" fillId="10" borderId="8" xfId="0" applyFont="1" applyFill="1" applyBorder="1" applyAlignment="1">
      <alignment horizontal="center" vertical="center"/>
    </xf>
    <xf numFmtId="0" fontId="23" fillId="0" borderId="9" xfId="0" applyFont="1" applyBorder="1" applyAlignment="1">
      <alignment horizontal="center" vertical="center"/>
    </xf>
    <xf numFmtId="0" fontId="19" fillId="2" borderId="10" xfId="0" applyFont="1" applyFill="1" applyBorder="1" applyAlignment="1">
      <alignment vertical="center"/>
    </xf>
    <xf numFmtId="1" fontId="24" fillId="0" borderId="9" xfId="0" applyNumberFormat="1" applyFont="1" applyBorder="1" applyAlignment="1">
      <alignment horizontal="center" vertical="center"/>
    </xf>
    <xf numFmtId="0" fontId="2" fillId="10" borderId="8" xfId="0" applyFont="1" applyFill="1" applyBorder="1" applyAlignment="1">
      <alignment horizontal="center" vertical="center"/>
    </xf>
    <xf numFmtId="165" fontId="25" fillId="0" borderId="9" xfId="0" applyNumberFormat="1" applyFont="1" applyBorder="1" applyAlignment="1">
      <alignment horizontal="center" vertical="center"/>
    </xf>
    <xf numFmtId="165" fontId="26" fillId="0" borderId="9" xfId="0" applyNumberFormat="1" applyFont="1" applyBorder="1" applyAlignment="1">
      <alignment horizontal="center" vertical="center"/>
    </xf>
    <xf numFmtId="0" fontId="2" fillId="10" borderId="11" xfId="0" applyFont="1" applyFill="1" applyBorder="1" applyAlignment="1">
      <alignment horizontal="center" vertical="center"/>
    </xf>
    <xf numFmtId="0" fontId="19" fillId="2" borderId="12" xfId="0" applyFont="1" applyFill="1" applyBorder="1" applyAlignment="1">
      <alignment vertical="center"/>
    </xf>
    <xf numFmtId="170" fontId="25" fillId="0" borderId="2" xfId="0" applyNumberFormat="1" applyFont="1" applyBorder="1" applyAlignment="1">
      <alignment horizontal="center" vertical="center"/>
    </xf>
    <xf numFmtId="171" fontId="25" fillId="0" borderId="13" xfId="0" applyNumberFormat="1" applyFont="1" applyBorder="1" applyAlignment="1">
      <alignment horizontal="center" vertical="center"/>
    </xf>
    <xf numFmtId="0" fontId="19" fillId="0" borderId="7" xfId="0" applyFont="1" applyBorder="1" applyAlignment="1">
      <alignment vertical="center"/>
    </xf>
    <xf numFmtId="0" fontId="19" fillId="0" borderId="3" xfId="0" applyFont="1" applyBorder="1" applyAlignment="1">
      <alignment vertical="center"/>
    </xf>
    <xf numFmtId="0" fontId="2" fillId="10" borderId="14" xfId="0" applyFont="1" applyFill="1" applyBorder="1" applyAlignment="1">
      <alignment horizontal="center" vertical="center"/>
    </xf>
    <xf numFmtId="0" fontId="27" fillId="2" borderId="12" xfId="0" applyFont="1" applyFill="1" applyBorder="1" applyAlignment="1">
      <alignment vertical="center"/>
    </xf>
    <xf numFmtId="165" fontId="25" fillId="0" borderId="2" xfId="0" applyNumberFormat="1" applyFont="1" applyBorder="1" applyAlignment="1">
      <alignment horizontal="center" vertical="center"/>
    </xf>
    <xf numFmtId="10" fontId="27" fillId="2" borderId="1" xfId="0" applyNumberFormat="1" applyFont="1" applyFill="1" applyBorder="1" applyAlignment="1">
      <alignment horizontal="center" vertical="center"/>
    </xf>
    <xf numFmtId="0" fontId="27" fillId="2" borderId="10" xfId="0" applyFont="1" applyFill="1" applyBorder="1" applyAlignment="1">
      <alignment vertical="center"/>
    </xf>
    <xf numFmtId="0" fontId="28" fillId="2" borderId="10" xfId="0" applyFont="1" applyFill="1" applyBorder="1" applyAlignment="1">
      <alignment vertical="center"/>
    </xf>
    <xf numFmtId="0" fontId="29" fillId="2" borderId="0" xfId="0" applyFont="1" applyFill="1" applyAlignment="1">
      <alignment vertical="center"/>
    </xf>
    <xf numFmtId="0" fontId="30" fillId="10" borderId="15" xfId="0" applyFont="1" applyFill="1" applyBorder="1" applyAlignment="1">
      <alignment vertical="center"/>
    </xf>
    <xf numFmtId="165" fontId="2" fillId="10" borderId="14" xfId="0" applyNumberFormat="1" applyFont="1" applyFill="1" applyBorder="1" applyAlignment="1">
      <alignment horizontal="center" vertical="center"/>
    </xf>
    <xf numFmtId="0" fontId="2" fillId="0" borderId="8" xfId="0" applyFont="1" applyBorder="1" applyAlignment="1">
      <alignment horizontal="center" vertical="center"/>
    </xf>
    <xf numFmtId="10" fontId="27" fillId="0" borderId="1"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2" fillId="10" borderId="8" xfId="0" applyFont="1" applyFill="1" applyBorder="1" applyAlignment="1">
      <alignment horizontal="left" vertical="center"/>
    </xf>
    <xf numFmtId="10" fontId="27" fillId="10" borderId="1" xfId="0" applyNumberFormat="1" applyFont="1" applyFill="1" applyBorder="1" applyAlignment="1">
      <alignment horizontal="center" vertical="center"/>
    </xf>
    <xf numFmtId="165" fontId="2" fillId="10" borderId="13" xfId="0" applyNumberFormat="1" applyFont="1" applyFill="1" applyBorder="1" applyAlignment="1">
      <alignment horizontal="center" vertical="center"/>
    </xf>
    <xf numFmtId="0" fontId="2" fillId="2" borderId="16" xfId="0" applyFont="1" applyFill="1" applyBorder="1" applyAlignment="1">
      <alignment vertical="center"/>
    </xf>
    <xf numFmtId="10" fontId="35" fillId="2" borderId="6" xfId="0" applyNumberFormat="1" applyFont="1" applyFill="1" applyBorder="1" applyAlignment="1">
      <alignment horizontal="center" vertical="center"/>
    </xf>
    <xf numFmtId="165" fontId="2" fillId="2" borderId="9" xfId="0" applyNumberFormat="1" applyFont="1" applyFill="1" applyBorder="1" applyAlignment="1">
      <alignment horizontal="center" vertical="center"/>
    </xf>
    <xf numFmtId="10" fontId="25" fillId="0" borderId="2" xfId="0" applyNumberFormat="1" applyFont="1" applyBorder="1" applyAlignment="1">
      <alignment horizontal="center" vertical="center"/>
    </xf>
    <xf numFmtId="9" fontId="19" fillId="0" borderId="2" xfId="0" applyNumberFormat="1" applyFont="1" applyBorder="1" applyAlignment="1">
      <alignment horizontal="center" vertical="center"/>
    </xf>
    <xf numFmtId="0" fontId="19" fillId="2" borderId="2" xfId="0" applyFont="1" applyFill="1" applyBorder="1" applyAlignment="1">
      <alignment horizontal="right" vertical="center"/>
    </xf>
    <xf numFmtId="0" fontId="19" fillId="2" borderId="17" xfId="0" applyFont="1" applyFill="1" applyBorder="1" applyAlignment="1">
      <alignment vertical="center"/>
    </xf>
    <xf numFmtId="0" fontId="19" fillId="2" borderId="15" xfId="0" applyFont="1" applyFill="1" applyBorder="1" applyAlignment="1">
      <alignment vertical="center"/>
    </xf>
    <xf numFmtId="0" fontId="19" fillId="2" borderId="14" xfId="0" applyFont="1" applyFill="1" applyBorder="1" applyAlignment="1">
      <alignment vertical="center"/>
    </xf>
    <xf numFmtId="165" fontId="19" fillId="0" borderId="13" xfId="0" applyNumberFormat="1" applyFont="1" applyBorder="1" applyAlignment="1">
      <alignment horizontal="center" vertical="center"/>
    </xf>
    <xf numFmtId="0" fontId="2" fillId="0" borderId="18" xfId="0" applyFont="1" applyBorder="1" applyAlignment="1">
      <alignment horizontal="center" vertical="center"/>
    </xf>
    <xf numFmtId="10" fontId="27" fillId="0" borderId="2" xfId="0" applyNumberFormat="1" applyFont="1" applyBorder="1" applyAlignment="1">
      <alignment horizontal="center" vertical="center"/>
    </xf>
    <xf numFmtId="165" fontId="19" fillId="0" borderId="9" xfId="0" applyNumberFormat="1" applyFont="1" applyBorder="1" applyAlignment="1">
      <alignment horizontal="center" vertical="center"/>
    </xf>
    <xf numFmtId="0" fontId="2" fillId="10" borderId="18" xfId="0" applyFont="1" applyFill="1" applyBorder="1" applyAlignment="1">
      <alignment horizontal="center" vertical="center"/>
    </xf>
    <xf numFmtId="165" fontId="2" fillId="10" borderId="9" xfId="0"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vertical="center"/>
    </xf>
    <xf numFmtId="0" fontId="2" fillId="0" borderId="17" xfId="0" applyFont="1" applyBorder="1" applyAlignment="1">
      <alignment vertical="center"/>
    </xf>
    <xf numFmtId="0" fontId="2" fillId="0" borderId="14" xfId="0" applyFont="1" applyBorder="1" applyAlignment="1">
      <alignment horizontal="center" vertical="center"/>
    </xf>
    <xf numFmtId="10" fontId="0" fillId="0" borderId="1" xfId="4" applyNumberFormat="1" applyFont="1" applyBorder="1" applyAlignment="1">
      <alignment horizontal="center" vertical="center"/>
    </xf>
    <xf numFmtId="10" fontId="19" fillId="0" borderId="1" xfId="0" applyNumberFormat="1" applyFont="1" applyBorder="1" applyAlignment="1">
      <alignment horizontal="center" vertical="center"/>
    </xf>
    <xf numFmtId="0" fontId="2" fillId="10" borderId="1" xfId="0" applyFont="1" applyFill="1" applyBorder="1" applyAlignment="1">
      <alignment vertical="center"/>
    </xf>
    <xf numFmtId="165" fontId="23" fillId="10" borderId="13" xfId="0" applyNumberFormat="1" applyFont="1" applyFill="1" applyBorder="1" applyAlignment="1">
      <alignment horizontal="center" vertical="center"/>
    </xf>
    <xf numFmtId="165" fontId="25" fillId="0" borderId="13" xfId="0" applyNumberFormat="1" applyFont="1" applyBorder="1" applyAlignment="1">
      <alignment horizontal="center" vertical="center"/>
    </xf>
    <xf numFmtId="10" fontId="50" fillId="0" borderId="1" xfId="4" applyNumberFormat="1" applyBorder="1" applyAlignment="1">
      <alignment horizontal="center" vertical="center"/>
    </xf>
    <xf numFmtId="10" fontId="2" fillId="0" borderId="1" xfId="0" applyNumberFormat="1" applyFont="1" applyBorder="1" applyAlignment="1">
      <alignment horizontal="center" vertical="center"/>
    </xf>
    <xf numFmtId="165" fontId="23" fillId="0" borderId="13" xfId="0" applyNumberFormat="1" applyFont="1" applyBorder="1" applyAlignment="1">
      <alignment horizontal="center" vertical="center"/>
    </xf>
    <xf numFmtId="10" fontId="0" fillId="0" borderId="1" xfId="0" applyNumberFormat="1" applyBorder="1" applyAlignment="1">
      <alignment horizontal="center" vertical="center"/>
    </xf>
    <xf numFmtId="0" fontId="2" fillId="10" borderId="6" xfId="0" applyFont="1" applyFill="1" applyBorder="1" applyAlignment="1">
      <alignment horizontal="center" vertical="center"/>
    </xf>
    <xf numFmtId="0" fontId="2" fillId="10" borderId="9" xfId="0" applyFont="1" applyFill="1" applyBorder="1" applyAlignment="1">
      <alignment horizontal="center" vertical="center"/>
    </xf>
    <xf numFmtId="0" fontId="2" fillId="10" borderId="18" xfId="0" applyFont="1" applyFill="1" applyBorder="1" applyAlignment="1">
      <alignment vertical="center"/>
    </xf>
    <xf numFmtId="165" fontId="23" fillId="10" borderId="9" xfId="0" applyNumberFormat="1" applyFont="1" applyFill="1" applyBorder="1" applyAlignment="1">
      <alignment horizontal="center" vertical="center"/>
    </xf>
    <xf numFmtId="0" fontId="2" fillId="10" borderId="5" xfId="0" applyFont="1" applyFill="1" applyBorder="1" applyAlignment="1">
      <alignment horizontal="center" vertical="center"/>
    </xf>
    <xf numFmtId="0" fontId="2" fillId="2" borderId="6" xfId="0" applyFont="1" applyFill="1" applyBorder="1" applyAlignment="1">
      <alignment vertical="center"/>
    </xf>
    <xf numFmtId="10" fontId="25" fillId="2" borderId="2" xfId="0" applyNumberFormat="1" applyFont="1" applyFill="1" applyBorder="1" applyAlignment="1">
      <alignment horizontal="center" vertical="center"/>
    </xf>
    <xf numFmtId="0" fontId="38" fillId="2" borderId="1" xfId="0" applyFont="1" applyFill="1" applyBorder="1" applyAlignment="1">
      <alignment horizontal="center" vertical="center" wrapText="1"/>
    </xf>
    <xf numFmtId="0" fontId="39" fillId="2" borderId="6" xfId="0" applyFont="1" applyFill="1" applyBorder="1" applyAlignment="1">
      <alignment vertical="center"/>
    </xf>
    <xf numFmtId="0" fontId="25" fillId="2" borderId="6" xfId="0" applyFont="1" applyFill="1" applyBorder="1" applyAlignment="1">
      <alignment vertical="center"/>
    </xf>
    <xf numFmtId="10" fontId="25" fillId="2" borderId="1" xfId="0" applyNumberFormat="1" applyFont="1" applyFill="1" applyBorder="1" applyAlignment="1">
      <alignment horizontal="center" vertical="center"/>
    </xf>
    <xf numFmtId="165" fontId="19" fillId="0" borderId="0" xfId="0" applyNumberFormat="1" applyFont="1" applyAlignment="1">
      <alignment vertical="center"/>
    </xf>
    <xf numFmtId="0" fontId="2" fillId="10" borderId="10" xfId="0" applyFont="1" applyFill="1" applyBorder="1" applyAlignment="1">
      <alignment vertical="center"/>
    </xf>
    <xf numFmtId="10" fontId="23" fillId="10" borderId="9" xfId="0" applyNumberFormat="1" applyFont="1" applyFill="1" applyBorder="1" applyAlignment="1">
      <alignment horizontal="center" vertical="center"/>
    </xf>
    <xf numFmtId="0" fontId="2" fillId="10" borderId="6" xfId="0" applyFont="1" applyFill="1" applyBorder="1" applyAlignment="1">
      <alignment horizontal="center" vertical="center" wrapText="1"/>
    </xf>
    <xf numFmtId="165" fontId="40" fillId="10" borderId="9" xfId="0" applyNumberFormat="1" applyFont="1" applyFill="1" applyBorder="1" applyAlignment="1">
      <alignment horizontal="center" vertical="center" wrapText="1"/>
    </xf>
    <xf numFmtId="10" fontId="19" fillId="0" borderId="0" xfId="0" applyNumberFormat="1" applyFont="1" applyAlignment="1">
      <alignment vertical="center"/>
    </xf>
    <xf numFmtId="0" fontId="2" fillId="10" borderId="19" xfId="0" applyFont="1" applyFill="1" applyBorder="1" applyAlignment="1">
      <alignment horizontal="center" vertical="center" wrapText="1"/>
    </xf>
    <xf numFmtId="0" fontId="2" fillId="10" borderId="20" xfId="0" applyFont="1" applyFill="1" applyBorder="1" applyAlignment="1">
      <alignment horizontal="center" vertical="center" wrapText="1"/>
    </xf>
    <xf numFmtId="171" fontId="19" fillId="0" borderId="19" xfId="0" applyNumberFormat="1" applyFont="1" applyBorder="1" applyAlignment="1">
      <alignment horizontal="center" vertical="center"/>
    </xf>
    <xf numFmtId="166" fontId="19" fillId="0" borderId="20" xfId="0" applyNumberFormat="1" applyFont="1" applyBorder="1" applyAlignment="1">
      <alignment horizontal="center" vertical="center"/>
    </xf>
    <xf numFmtId="166" fontId="40" fillId="10" borderId="20" xfId="0" applyNumberFormat="1" applyFont="1" applyFill="1" applyBorder="1" applyAlignment="1">
      <alignment horizontal="center" vertical="center"/>
    </xf>
    <xf numFmtId="0" fontId="40" fillId="2" borderId="0" xfId="0" applyFont="1" applyFill="1" applyAlignment="1">
      <alignment horizontal="center" vertical="center"/>
    </xf>
    <xf numFmtId="166" fontId="40" fillId="2" borderId="0" xfId="0" applyNumberFormat="1" applyFont="1" applyFill="1" applyAlignment="1">
      <alignment horizontal="center" vertical="center"/>
    </xf>
    <xf numFmtId="0" fontId="40" fillId="2" borderId="0" xfId="0" applyFont="1" applyFill="1" applyAlignment="1">
      <alignment horizontal="left" vertical="center"/>
    </xf>
    <xf numFmtId="0" fontId="19" fillId="0" borderId="0" xfId="0" applyFont="1"/>
    <xf numFmtId="0" fontId="2" fillId="10" borderId="0" xfId="0" applyFont="1" applyFill="1" applyAlignment="1">
      <alignment horizontal="center" vertical="center" wrapText="1"/>
    </xf>
    <xf numFmtId="175" fontId="2" fillId="10" borderId="21" xfId="0" applyNumberFormat="1" applyFont="1" applyFill="1" applyBorder="1" applyAlignment="1">
      <alignment horizontal="center" vertical="center"/>
    </xf>
    <xf numFmtId="174" fontId="2" fillId="10" borderId="2" xfId="0" applyNumberFormat="1" applyFont="1" applyFill="1" applyBorder="1" applyAlignment="1">
      <alignment horizontal="center" vertical="center" wrapText="1"/>
    </xf>
    <xf numFmtId="174" fontId="2" fillId="10" borderId="2" xfId="0" applyNumberFormat="1" applyFont="1" applyFill="1" applyBorder="1" applyAlignment="1">
      <alignment horizontal="center" vertical="center"/>
    </xf>
    <xf numFmtId="166" fontId="2" fillId="10" borderId="2" xfId="2" applyFont="1" applyFill="1" applyBorder="1" applyAlignment="1">
      <alignment horizontal="center" vertical="center" wrapText="1"/>
    </xf>
    <xf numFmtId="3" fontId="2" fillId="0" borderId="2" xfId="0" applyNumberFormat="1" applyFont="1" applyBorder="1" applyAlignment="1">
      <alignment horizontal="center" vertical="center"/>
    </xf>
    <xf numFmtId="168" fontId="2" fillId="0" borderId="2" xfId="0" applyNumberFormat="1" applyFont="1" applyBorder="1" applyAlignment="1">
      <alignment horizontal="center" vertical="center"/>
    </xf>
    <xf numFmtId="174" fontId="2" fillId="0" borderId="2" xfId="0" applyNumberFormat="1" applyFont="1" applyBorder="1" applyAlignment="1">
      <alignment horizontal="center" vertical="center"/>
    </xf>
    <xf numFmtId="174" fontId="2" fillId="2" borderId="2" xfId="0" applyNumberFormat="1" applyFont="1" applyFill="1" applyBorder="1" applyAlignment="1">
      <alignment horizontal="center" vertical="center"/>
    </xf>
    <xf numFmtId="166" fontId="2" fillId="0" borderId="2" xfId="2" applyFont="1" applyBorder="1" applyAlignment="1">
      <alignment horizontal="center" vertical="center"/>
    </xf>
    <xf numFmtId="0" fontId="2" fillId="10" borderId="2" xfId="0" applyFont="1" applyFill="1" applyBorder="1" applyAlignment="1">
      <alignment horizontal="center" vertical="center" wrapText="1"/>
    </xf>
    <xf numFmtId="1" fontId="2" fillId="2" borderId="2" xfId="0" applyNumberFormat="1" applyFont="1" applyFill="1" applyBorder="1" applyAlignment="1">
      <alignment horizontal="center" vertical="center"/>
    </xf>
    <xf numFmtId="174" fontId="2" fillId="10" borderId="22" xfId="0" applyNumberFormat="1" applyFont="1" applyFill="1" applyBorder="1" applyAlignment="1">
      <alignment horizontal="center" vertical="center" wrapText="1"/>
    </xf>
    <xf numFmtId="174" fontId="2" fillId="10" borderId="23" xfId="0" applyNumberFormat="1" applyFont="1" applyFill="1" applyBorder="1" applyAlignment="1">
      <alignment horizontal="center" vertical="center"/>
    </xf>
    <xf numFmtId="166" fontId="2" fillId="10" borderId="10" xfId="0" applyNumberFormat="1" applyFont="1" applyFill="1" applyBorder="1" applyAlignment="1">
      <alignment horizontal="center" vertical="center" wrapText="1"/>
    </xf>
    <xf numFmtId="10" fontId="2" fillId="2" borderId="2" xfId="0" applyNumberFormat="1" applyFont="1" applyFill="1" applyBorder="1" applyAlignment="1">
      <alignment horizontal="center" vertical="center"/>
    </xf>
    <xf numFmtId="1" fontId="2" fillId="2" borderId="2" xfId="4" applyNumberFormat="1" applyFont="1" applyFill="1" applyBorder="1" applyAlignment="1">
      <alignment horizontal="center" vertical="center"/>
    </xf>
    <xf numFmtId="166" fontId="2" fillId="0" borderId="2" xfId="0" applyNumberFormat="1" applyFont="1" applyBorder="1" applyAlignment="1">
      <alignment horizontal="center" vertical="center"/>
    </xf>
    <xf numFmtId="0" fontId="2" fillId="0" borderId="1" xfId="0" applyFont="1" applyBorder="1" applyAlignment="1">
      <alignment horizontal="center" vertical="center" wrapText="1"/>
    </xf>
    <xf numFmtId="167" fontId="2" fillId="2" borderId="2" xfId="2"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167" fontId="1" fillId="0" borderId="1" xfId="2" applyNumberFormat="1" applyFont="1" applyBorder="1" applyAlignment="1">
      <alignment horizontal="center" vertical="center"/>
    </xf>
    <xf numFmtId="176" fontId="2" fillId="2" borderId="2" xfId="2" applyNumberFormat="1" applyFont="1" applyFill="1" applyBorder="1" applyAlignment="1">
      <alignment horizontal="center" vertical="center"/>
    </xf>
    <xf numFmtId="165" fontId="2" fillId="2" borderId="2" xfId="0" applyNumberFormat="1" applyFont="1" applyFill="1" applyBorder="1" applyAlignment="1">
      <alignment horizontal="right" vertical="center"/>
    </xf>
    <xf numFmtId="166" fontId="2" fillId="2" borderId="0" xfId="2" applyFont="1" applyFill="1" applyAlignment="1">
      <alignment horizontal="center" vertical="center"/>
    </xf>
    <xf numFmtId="0" fontId="19" fillId="0" borderId="2" xfId="0" applyFont="1" applyBorder="1" applyAlignment="1">
      <alignment horizontal="center" vertical="center"/>
    </xf>
    <xf numFmtId="165" fontId="36" fillId="0" borderId="2" xfId="0" applyNumberFormat="1" applyFont="1" applyBorder="1"/>
    <xf numFmtId="0" fontId="25" fillId="0" borderId="9" xfId="0" applyFont="1" applyBorder="1" applyAlignment="1">
      <alignment horizontal="center" vertical="center"/>
    </xf>
    <xf numFmtId="170" fontId="25" fillId="0" borderId="13" xfId="0" applyNumberFormat="1" applyFont="1" applyBorder="1" applyAlignment="1">
      <alignment horizontal="center" vertical="center"/>
    </xf>
    <xf numFmtId="0" fontId="41" fillId="10" borderId="14" xfId="0" applyFont="1" applyFill="1" applyBorder="1" applyAlignment="1">
      <alignment horizontal="center" vertical="center" wrapText="1"/>
    </xf>
    <xf numFmtId="0" fontId="27" fillId="0" borderId="12" xfId="0" applyFont="1" applyBorder="1" applyAlignment="1">
      <alignment vertical="center"/>
    </xf>
    <xf numFmtId="0" fontId="28" fillId="0" borderId="10" xfId="0" applyFont="1" applyBorder="1" applyAlignment="1">
      <alignment vertical="center"/>
    </xf>
    <xf numFmtId="165" fontId="2" fillId="0" borderId="0" xfId="0" applyNumberFormat="1" applyFont="1" applyAlignment="1">
      <alignment horizontal="center" vertical="center"/>
    </xf>
    <xf numFmtId="165" fontId="2" fillId="0" borderId="2" xfId="0" applyNumberFormat="1" applyFont="1" applyBorder="1" applyAlignment="1">
      <alignment horizontal="center" vertical="center"/>
    </xf>
    <xf numFmtId="165" fontId="2" fillId="0" borderId="9" xfId="0" applyNumberFormat="1" applyFont="1" applyBorder="1" applyAlignment="1">
      <alignment horizontal="center" vertical="center"/>
    </xf>
    <xf numFmtId="2" fontId="19" fillId="0" borderId="1" xfId="0" applyNumberFormat="1" applyFont="1" applyBorder="1" applyAlignment="1">
      <alignment horizontal="center" vertical="center"/>
    </xf>
    <xf numFmtId="9" fontId="2" fillId="0" borderId="1" xfId="0" applyNumberFormat="1" applyFont="1" applyBorder="1" applyAlignment="1">
      <alignment horizontal="center" vertical="center"/>
    </xf>
    <xf numFmtId="173" fontId="2" fillId="0" borderId="1" xfId="0" applyNumberFormat="1" applyFont="1" applyBorder="1" applyAlignment="1">
      <alignment horizontal="center" vertical="center"/>
    </xf>
    <xf numFmtId="0" fontId="19" fillId="0" borderId="6" xfId="0" applyFont="1" applyBorder="1" applyAlignment="1">
      <alignment vertical="center"/>
    </xf>
    <xf numFmtId="0" fontId="19" fillId="0" borderId="12" xfId="0" applyFont="1" applyBorder="1" applyAlignment="1">
      <alignment vertical="center"/>
    </xf>
    <xf numFmtId="0" fontId="38" fillId="0" borderId="1" xfId="0" applyFont="1" applyBorder="1" applyAlignment="1">
      <alignment horizontal="center" vertical="center" wrapText="1"/>
    </xf>
    <xf numFmtId="10" fontId="25" fillId="0" borderId="1" xfId="0" applyNumberFormat="1" applyFont="1" applyBorder="1" applyAlignment="1">
      <alignment horizontal="center" vertical="center"/>
    </xf>
    <xf numFmtId="0" fontId="25" fillId="0" borderId="6" xfId="0" applyFont="1" applyBorder="1" applyAlignment="1">
      <alignment vertical="center"/>
    </xf>
    <xf numFmtId="165" fontId="40" fillId="2" borderId="9" xfId="0" applyNumberFormat="1" applyFont="1" applyFill="1" applyBorder="1" applyAlignment="1">
      <alignment horizontal="center" vertical="center" wrapText="1"/>
    </xf>
    <xf numFmtId="0" fontId="41" fillId="10" borderId="19" xfId="0" applyFont="1" applyFill="1" applyBorder="1" applyAlignment="1">
      <alignment horizontal="center" vertical="center" wrapText="1"/>
    </xf>
    <xf numFmtId="165" fontId="23" fillId="0" borderId="2" xfId="0" applyNumberFormat="1" applyFont="1" applyBorder="1" applyAlignment="1">
      <alignment horizontal="center" vertical="center"/>
    </xf>
    <xf numFmtId="0" fontId="8" fillId="10" borderId="1" xfId="0" applyFont="1" applyFill="1" applyBorder="1" applyAlignment="1">
      <alignment horizontal="center" vertical="center" wrapText="1"/>
    </xf>
    <xf numFmtId="0" fontId="14" fillId="5" borderId="24" xfId="0" applyFont="1" applyFill="1" applyBorder="1" applyAlignment="1" applyProtection="1">
      <alignment vertical="center" wrapText="1"/>
      <protection locked="0"/>
    </xf>
    <xf numFmtId="0" fontId="13" fillId="5" borderId="2" xfId="0" applyFont="1" applyFill="1" applyBorder="1" applyAlignment="1">
      <alignment horizontal="left" vertical="center" wrapText="1"/>
    </xf>
    <xf numFmtId="174" fontId="8" fillId="0" borderId="1" xfId="0" applyNumberFormat="1" applyFont="1" applyBorder="1" applyAlignment="1">
      <alignment horizontal="center" vertical="center" wrapText="1"/>
    </xf>
    <xf numFmtId="0" fontId="1" fillId="0" borderId="1" xfId="0" applyFont="1" applyBorder="1" applyAlignment="1">
      <alignment horizontal="left" vertical="center"/>
    </xf>
    <xf numFmtId="0" fontId="1" fillId="0" borderId="1" xfId="0" applyFont="1" applyBorder="1" applyAlignment="1">
      <alignment horizontal="justify" vertical="center"/>
    </xf>
    <xf numFmtId="165" fontId="19" fillId="2" borderId="13" xfId="0" applyNumberFormat="1" applyFont="1" applyFill="1" applyBorder="1" applyAlignment="1">
      <alignment horizontal="center" vertical="center"/>
    </xf>
    <xf numFmtId="166" fontId="40" fillId="0" borderId="0" xfId="0" applyNumberFormat="1" applyFont="1" applyAlignment="1">
      <alignment horizontal="center" vertical="center"/>
    </xf>
    <xf numFmtId="0" fontId="19" fillId="2" borderId="0" xfId="0" applyFont="1" applyFill="1" applyAlignment="1">
      <alignment horizontal="left" vertical="center"/>
    </xf>
    <xf numFmtId="0" fontId="19" fillId="2" borderId="0" xfId="0" applyFont="1" applyFill="1" applyAlignment="1">
      <alignment horizontal="center" vertical="center"/>
    </xf>
    <xf numFmtId="0" fontId="25" fillId="2" borderId="0" xfId="0" applyFont="1" applyFill="1" applyAlignment="1">
      <alignment horizontal="center" vertical="center"/>
    </xf>
    <xf numFmtId="0" fontId="43" fillId="2" borderId="0" xfId="0" applyFont="1" applyFill="1" applyAlignment="1">
      <alignment horizontal="center" vertical="center"/>
    </xf>
    <xf numFmtId="165" fontId="43" fillId="2" borderId="0" xfId="0" applyNumberFormat="1" applyFont="1" applyFill="1" applyAlignment="1">
      <alignment horizontal="center" vertical="center"/>
    </xf>
    <xf numFmtId="1" fontId="44" fillId="2" borderId="0" xfId="0" applyNumberFormat="1" applyFont="1" applyFill="1" applyAlignment="1">
      <alignment horizontal="center" vertical="center"/>
    </xf>
    <xf numFmtId="165" fontId="25" fillId="2" borderId="0" xfId="0" applyNumberFormat="1" applyFont="1" applyFill="1" applyAlignment="1" applyProtection="1">
      <alignment horizontal="center" vertical="center"/>
      <protection locked="0"/>
    </xf>
    <xf numFmtId="0" fontId="25" fillId="2" borderId="0" xfId="0" applyFont="1" applyFill="1" applyAlignment="1" applyProtection="1">
      <alignment horizontal="center" vertical="center"/>
      <protection locked="0"/>
    </xf>
    <xf numFmtId="170" fontId="25" fillId="2" borderId="0" xfId="0" applyNumberFormat="1" applyFont="1" applyFill="1" applyAlignment="1" applyProtection="1">
      <alignment horizontal="center" vertical="center"/>
      <protection locked="0"/>
    </xf>
    <xf numFmtId="171" fontId="25" fillId="2" borderId="0" xfId="0" applyNumberFormat="1" applyFont="1" applyFill="1" applyAlignment="1" applyProtection="1">
      <alignment horizontal="center" vertical="center"/>
      <protection locked="0"/>
    </xf>
    <xf numFmtId="10" fontId="25" fillId="2" borderId="0" xfId="0" applyNumberFormat="1" applyFont="1" applyFill="1" applyAlignment="1" applyProtection="1">
      <alignment horizontal="center" vertical="center"/>
      <protection locked="0"/>
    </xf>
    <xf numFmtId="10" fontId="25" fillId="2" borderId="0" xfId="0" applyNumberFormat="1" applyFont="1" applyFill="1" applyAlignment="1">
      <alignment horizontal="center" vertical="center"/>
    </xf>
    <xf numFmtId="0" fontId="1" fillId="2" borderId="0" xfId="0" applyFont="1" applyFill="1" applyAlignment="1">
      <alignment horizontal="center" vertical="center"/>
    </xf>
    <xf numFmtId="177" fontId="7" fillId="14" borderId="1" xfId="0" applyNumberFormat="1" applyFont="1" applyFill="1" applyBorder="1" applyAlignment="1" applyProtection="1">
      <alignment horizontal="center" vertical="center"/>
      <protection locked="0" hidden="1"/>
    </xf>
    <xf numFmtId="0" fontId="43" fillId="15" borderId="0" xfId="0" applyFont="1" applyFill="1" applyAlignment="1">
      <alignment horizontal="center" vertical="center" wrapText="1"/>
    </xf>
    <xf numFmtId="0" fontId="1" fillId="15" borderId="0" xfId="0" applyFont="1" applyFill="1" applyAlignment="1">
      <alignment horizontal="center" vertical="center"/>
    </xf>
    <xf numFmtId="169" fontId="1" fillId="15" borderId="0" xfId="0" applyNumberFormat="1" applyFont="1" applyFill="1" applyAlignment="1">
      <alignment horizontal="center" vertical="center"/>
    </xf>
    <xf numFmtId="165" fontId="43" fillId="16" borderId="0" xfId="0" applyNumberFormat="1" applyFont="1" applyFill="1" applyAlignment="1">
      <alignment horizontal="center" vertical="center"/>
    </xf>
    <xf numFmtId="165" fontId="43" fillId="18" borderId="36" xfId="0" applyNumberFormat="1" applyFont="1" applyFill="1" applyBorder="1" applyAlignment="1">
      <alignment horizontal="center" vertical="center"/>
    </xf>
    <xf numFmtId="0" fontId="42" fillId="2" borderId="0" xfId="0" applyFont="1" applyFill="1"/>
    <xf numFmtId="0" fontId="51" fillId="3" borderId="1" xfId="0" applyFont="1" applyFill="1" applyBorder="1" applyAlignment="1">
      <alignment vertical="center"/>
    </xf>
    <xf numFmtId="0" fontId="8"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0" xfId="0" applyFont="1" applyFill="1" applyAlignment="1">
      <alignment horizontal="center" vertical="center"/>
    </xf>
    <xf numFmtId="0" fontId="1" fillId="0" borderId="0" xfId="0" applyFont="1" applyAlignment="1">
      <alignment horizontal="center" vertical="center"/>
    </xf>
    <xf numFmtId="0" fontId="8" fillId="0" borderId="0" xfId="0" applyFont="1" applyAlignment="1">
      <alignment horizontal="center" vertical="center"/>
    </xf>
    <xf numFmtId="0" fontId="13" fillId="0" borderId="0" xfId="0" applyFont="1" applyAlignment="1">
      <alignment horizontal="center" vertical="center" wrapText="1"/>
    </xf>
    <xf numFmtId="0" fontId="52" fillId="0" borderId="38" xfId="0" applyFont="1" applyBorder="1" applyAlignment="1">
      <alignment vertical="center"/>
    </xf>
    <xf numFmtId="0" fontId="52" fillId="0" borderId="39" xfId="0" applyFont="1" applyBorder="1" applyAlignment="1">
      <alignment horizontal="center" vertical="center"/>
    </xf>
    <xf numFmtId="2" fontId="1" fillId="5" borderId="1" xfId="3" applyNumberFormat="1" applyFont="1" applyFill="1" applyBorder="1" applyAlignment="1" applyProtection="1">
      <alignment horizontal="center" vertical="center" wrapText="1"/>
      <protection locked="0"/>
    </xf>
    <xf numFmtId="174" fontId="1" fillId="0" borderId="1" xfId="0" applyNumberFormat="1" applyFont="1" applyBorder="1" applyAlignment="1">
      <alignment horizontal="center" vertical="center" wrapText="1"/>
    </xf>
    <xf numFmtId="167" fontId="1" fillId="0" borderId="0" xfId="2" applyNumberFormat="1" applyFont="1" applyAlignment="1">
      <alignment horizontal="center" vertical="center"/>
    </xf>
    <xf numFmtId="175" fontId="8" fillId="0" borderId="0" xfId="2" applyNumberFormat="1" applyFont="1" applyAlignment="1">
      <alignment horizontal="center" vertical="center"/>
    </xf>
    <xf numFmtId="0" fontId="8" fillId="2" borderId="0" xfId="0" applyFont="1" applyFill="1" applyAlignment="1">
      <alignment horizontal="center" vertical="center"/>
    </xf>
    <xf numFmtId="0" fontId="13" fillId="2" borderId="0" xfId="0" applyFont="1" applyFill="1" applyAlignment="1">
      <alignment horizontal="center" vertical="center" wrapText="1"/>
    </xf>
    <xf numFmtId="167" fontId="1" fillId="2" borderId="0" xfId="2" applyNumberFormat="1" applyFont="1" applyFill="1" applyAlignment="1">
      <alignment horizontal="center" vertical="center"/>
    </xf>
    <xf numFmtId="175" fontId="8" fillId="2" borderId="0" xfId="2" applyNumberFormat="1" applyFont="1" applyFill="1" applyAlignment="1">
      <alignment horizontal="center" vertical="center"/>
    </xf>
    <xf numFmtId="2" fontId="1" fillId="5" borderId="25" xfId="3" applyNumberFormat="1" applyFont="1" applyFill="1" applyBorder="1" applyAlignment="1" applyProtection="1">
      <alignment horizontal="center" vertical="center" wrapText="1"/>
      <protection locked="0"/>
    </xf>
    <xf numFmtId="0" fontId="1" fillId="0" borderId="25" xfId="0" applyFont="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pplyProtection="1">
      <alignment horizontal="center" vertical="center" wrapText="1"/>
      <protection locked="0"/>
    </xf>
    <xf numFmtId="0" fontId="1" fillId="0" borderId="0" xfId="0" applyFont="1" applyAlignment="1">
      <alignment horizontal="center" vertical="center" wrapText="1"/>
    </xf>
    <xf numFmtId="165" fontId="1" fillId="5" borderId="1" xfId="0" applyNumberFormat="1" applyFont="1" applyFill="1" applyBorder="1" applyAlignment="1" applyProtection="1">
      <alignment horizontal="center" vertical="center" wrapText="1"/>
      <protection locked="0"/>
    </xf>
    <xf numFmtId="167"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174" fontId="1" fillId="5" borderId="1" xfId="0" applyNumberFormat="1" applyFont="1" applyFill="1" applyBorder="1" applyAlignment="1" applyProtection="1">
      <alignment horizontal="center" vertical="center"/>
      <protection locked="0"/>
    </xf>
    <xf numFmtId="174" fontId="1" fillId="0" borderId="1" xfId="0" applyNumberFormat="1" applyFont="1" applyBorder="1" applyAlignment="1">
      <alignment horizontal="center" vertical="center"/>
    </xf>
    <xf numFmtId="174" fontId="8" fillId="0" borderId="1" xfId="0" applyNumberFormat="1" applyFont="1" applyBorder="1" applyAlignment="1">
      <alignment horizontal="center" vertical="center"/>
    </xf>
    <xf numFmtId="165" fontId="8" fillId="0" borderId="2" xfId="0" applyNumberFormat="1" applyFont="1" applyBorder="1" applyAlignment="1">
      <alignment horizontal="center" vertical="center"/>
    </xf>
    <xf numFmtId="165" fontId="1" fillId="0" borderId="0" xfId="0" applyNumberFormat="1" applyFont="1" applyAlignment="1">
      <alignment horizontal="center" vertical="center"/>
    </xf>
    <xf numFmtId="0" fontId="10" fillId="8" borderId="39" xfId="0" applyFont="1" applyFill="1" applyBorder="1" applyAlignment="1" applyProtection="1">
      <alignment vertical="center"/>
      <protection hidden="1"/>
    </xf>
    <xf numFmtId="165" fontId="7" fillId="5" borderId="39" xfId="0" applyNumberFormat="1" applyFont="1" applyFill="1" applyBorder="1" applyAlignment="1" applyProtection="1">
      <alignment horizontal="center" vertical="center"/>
      <protection locked="0"/>
    </xf>
    <xf numFmtId="0" fontId="10" fillId="6" borderId="39" xfId="0" applyFont="1" applyFill="1" applyBorder="1" applyAlignment="1" applyProtection="1">
      <alignment vertical="center"/>
      <protection hidden="1"/>
    </xf>
    <xf numFmtId="0" fontId="10" fillId="7" borderId="50" xfId="0" applyFont="1" applyFill="1" applyBorder="1" applyAlignment="1" applyProtection="1">
      <alignment vertical="center"/>
      <protection hidden="1"/>
    </xf>
    <xf numFmtId="0" fontId="0" fillId="7" borderId="43" xfId="0" applyFill="1" applyBorder="1" applyProtection="1">
      <protection hidden="1"/>
    </xf>
    <xf numFmtId="0" fontId="10" fillId="7" borderId="43" xfId="0" applyFont="1" applyFill="1" applyBorder="1" applyAlignment="1" applyProtection="1">
      <alignment vertical="center"/>
      <protection hidden="1"/>
    </xf>
    <xf numFmtId="165" fontId="7" fillId="5" borderId="50" xfId="0" applyNumberFormat="1" applyFont="1" applyFill="1" applyBorder="1" applyAlignment="1" applyProtection="1">
      <alignment horizontal="center" vertical="center"/>
      <protection locked="0"/>
    </xf>
    <xf numFmtId="165" fontId="7" fillId="5" borderId="43" xfId="0" applyNumberFormat="1" applyFont="1" applyFill="1" applyBorder="1" applyAlignment="1" applyProtection="1">
      <alignment horizontal="center" vertical="center"/>
      <protection locked="0"/>
    </xf>
    <xf numFmtId="0" fontId="4" fillId="3" borderId="62" xfId="0" applyFont="1" applyFill="1" applyBorder="1" applyAlignment="1" applyProtection="1">
      <alignment horizontal="center" vertical="center" wrapText="1" shrinkToFit="1"/>
      <protection hidden="1"/>
    </xf>
    <xf numFmtId="0" fontId="4" fillId="3" borderId="63" xfId="0" applyFont="1" applyFill="1" applyBorder="1" applyAlignment="1" applyProtection="1">
      <alignment horizontal="center" vertical="center" wrapText="1" shrinkToFit="1"/>
      <protection hidden="1"/>
    </xf>
    <xf numFmtId="0" fontId="4" fillId="3" borderId="50" xfId="0" applyFont="1" applyFill="1" applyBorder="1" applyAlignment="1" applyProtection="1">
      <alignment horizontal="center" vertical="center" wrapText="1" shrinkToFit="1"/>
      <protection hidden="1"/>
    </xf>
    <xf numFmtId="0" fontId="4" fillId="3" borderId="51" xfId="0" applyFont="1" applyFill="1" applyBorder="1" applyAlignment="1" applyProtection="1">
      <alignment horizontal="center" vertical="center" wrapText="1" shrinkToFit="1"/>
      <protection hidden="1"/>
    </xf>
    <xf numFmtId="0" fontId="8" fillId="0" borderId="62" xfId="0" applyFont="1" applyBorder="1" applyAlignment="1">
      <alignment horizontal="center" vertical="center" wrapText="1"/>
    </xf>
    <xf numFmtId="167" fontId="8" fillId="0" borderId="62" xfId="2" applyNumberFormat="1" applyFont="1" applyBorder="1" applyAlignment="1">
      <alignment horizontal="center" vertical="center" wrapText="1"/>
    </xf>
    <xf numFmtId="0" fontId="4" fillId="3" borderId="71" xfId="0" applyFont="1" applyFill="1" applyBorder="1" applyAlignment="1" applyProtection="1">
      <alignment horizontal="center" vertical="center" wrapText="1" shrinkToFit="1"/>
      <protection hidden="1"/>
    </xf>
    <xf numFmtId="0" fontId="8" fillId="0" borderId="88" xfId="0" applyFont="1" applyBorder="1" applyAlignment="1">
      <alignment horizontal="center" vertical="center" wrapText="1"/>
    </xf>
    <xf numFmtId="0" fontId="6" fillId="0" borderId="89" xfId="0" applyFont="1" applyBorder="1" applyAlignment="1">
      <alignment horizontal="center" vertical="center"/>
    </xf>
    <xf numFmtId="0" fontId="4" fillId="3" borderId="42" xfId="0" applyFont="1" applyFill="1" applyBorder="1" applyAlignment="1" applyProtection="1">
      <alignment horizontal="center" vertical="center" wrapText="1" shrinkToFit="1"/>
      <protection hidden="1"/>
    </xf>
    <xf numFmtId="0" fontId="1" fillId="5" borderId="91" xfId="2" applyNumberFormat="1" applyFont="1" applyFill="1" applyBorder="1" applyAlignment="1" applyProtection="1">
      <alignment horizontal="center" vertical="center"/>
      <protection locked="0"/>
    </xf>
    <xf numFmtId="167" fontId="9" fillId="2" borderId="92" xfId="2" applyNumberFormat="1" applyFont="1" applyFill="1" applyBorder="1" applyAlignment="1">
      <alignment horizontal="right" vertical="center"/>
    </xf>
    <xf numFmtId="167" fontId="8" fillId="0" borderId="42" xfId="0" applyNumberFormat="1" applyFont="1" applyBorder="1" applyAlignment="1">
      <alignment horizontal="right" vertical="center"/>
    </xf>
    <xf numFmtId="0" fontId="4" fillId="3" borderId="93" xfId="0" applyFont="1" applyFill="1" applyBorder="1" applyAlignment="1" applyProtection="1">
      <alignment horizontal="center" vertical="center" wrapText="1" shrinkToFit="1"/>
      <protection hidden="1"/>
    </xf>
    <xf numFmtId="0" fontId="1" fillId="5" borderId="94" xfId="2" applyNumberFormat="1" applyFont="1" applyFill="1" applyBorder="1" applyAlignment="1" applyProtection="1">
      <alignment horizontal="center" vertical="center"/>
      <protection locked="0"/>
    </xf>
    <xf numFmtId="167" fontId="9" fillId="2" borderId="95" xfId="2" applyNumberFormat="1" applyFont="1" applyFill="1" applyBorder="1" applyAlignment="1">
      <alignment horizontal="right" vertical="center"/>
    </xf>
    <xf numFmtId="0" fontId="53" fillId="0" borderId="78" xfId="0" applyFont="1" applyBorder="1" applyAlignment="1">
      <alignment horizontal="center" vertical="center"/>
    </xf>
    <xf numFmtId="0" fontId="12" fillId="0" borderId="60" xfId="0" applyFont="1" applyBorder="1" applyAlignment="1">
      <alignment horizontal="center" vertical="center"/>
    </xf>
    <xf numFmtId="0" fontId="1" fillId="5" borderId="99" xfId="2" applyNumberFormat="1" applyFont="1" applyFill="1" applyBorder="1" applyAlignment="1" applyProtection="1">
      <alignment horizontal="center" vertical="center"/>
      <protection locked="0"/>
    </xf>
    <xf numFmtId="0" fontId="1" fillId="5" borderId="100" xfId="2" applyNumberFormat="1" applyFont="1" applyFill="1" applyBorder="1" applyAlignment="1" applyProtection="1">
      <alignment horizontal="center" vertical="center"/>
      <protection locked="0"/>
    </xf>
    <xf numFmtId="0" fontId="6" fillId="0" borderId="101" xfId="0" applyFont="1" applyBorder="1" applyAlignment="1">
      <alignment horizontal="center" vertical="center"/>
    </xf>
    <xf numFmtId="167" fontId="9" fillId="2" borderId="102" xfId="2" applyNumberFormat="1" applyFont="1" applyFill="1" applyBorder="1" applyAlignment="1">
      <alignment horizontal="right" vertical="center"/>
    </xf>
    <xf numFmtId="167" fontId="9" fillId="2" borderId="103" xfId="2" applyNumberFormat="1" applyFont="1" applyFill="1" applyBorder="1" applyAlignment="1">
      <alignment horizontal="right" vertical="center"/>
    </xf>
    <xf numFmtId="0" fontId="53" fillId="0" borderId="98" xfId="0" applyFont="1" applyBorder="1" applyAlignment="1">
      <alignment horizontal="center" vertical="center"/>
    </xf>
    <xf numFmtId="0" fontId="6" fillId="0" borderId="104" xfId="0" applyFont="1" applyBorder="1" applyAlignment="1">
      <alignment horizontal="center" vertical="center"/>
    </xf>
    <xf numFmtId="0" fontId="4" fillId="3" borderId="105" xfId="0" applyFont="1" applyFill="1" applyBorder="1" applyAlignment="1" applyProtection="1">
      <alignment horizontal="center" vertical="center" wrapText="1" shrinkToFit="1"/>
      <protection hidden="1"/>
    </xf>
    <xf numFmtId="0" fontId="9" fillId="0" borderId="105" xfId="0" applyFont="1" applyBorder="1" applyAlignment="1">
      <alignment horizontal="center"/>
    </xf>
    <xf numFmtId="165" fontId="13" fillId="5" borderId="105" xfId="0" applyNumberFormat="1" applyFont="1" applyFill="1" applyBorder="1" applyAlignment="1" applyProtection="1">
      <alignment horizontal="center"/>
      <protection locked="0"/>
    </xf>
    <xf numFmtId="0" fontId="9" fillId="5" borderId="112" xfId="0" applyFont="1" applyFill="1" applyBorder="1" applyAlignment="1" applyProtection="1">
      <alignment horizontal="center"/>
      <protection locked="0"/>
    </xf>
    <xf numFmtId="165" fontId="13" fillId="5" borderId="112" xfId="0" applyNumberFormat="1" applyFont="1" applyFill="1" applyBorder="1" applyAlignment="1" applyProtection="1">
      <alignment horizontal="center"/>
      <protection locked="0"/>
    </xf>
    <xf numFmtId="0" fontId="13" fillId="0" borderId="110" xfId="0" applyFont="1" applyBorder="1" applyAlignment="1">
      <alignment horizontal="center"/>
    </xf>
    <xf numFmtId="0" fontId="13" fillId="0" borderId="113" xfId="0" applyFont="1" applyBorder="1" applyAlignment="1">
      <alignment horizontal="center"/>
    </xf>
    <xf numFmtId="0" fontId="16" fillId="9" borderId="61" xfId="1" applyFont="1" applyFill="1" applyBorder="1" applyAlignment="1" applyProtection="1">
      <alignment horizontal="center"/>
      <protection locked="0"/>
    </xf>
    <xf numFmtId="169" fontId="14" fillId="5" borderId="63" xfId="1" applyNumberFormat="1" applyFont="1" applyFill="1" applyBorder="1" applyProtection="1">
      <protection locked="0"/>
    </xf>
    <xf numFmtId="165" fontId="7" fillId="23" borderId="39" xfId="0" applyNumberFormat="1" applyFont="1" applyFill="1" applyBorder="1" applyAlignment="1" applyProtection="1">
      <alignment horizontal="center" vertical="center"/>
      <protection locked="0"/>
    </xf>
    <xf numFmtId="165" fontId="7" fillId="23" borderId="43" xfId="0" applyNumberFormat="1" applyFont="1" applyFill="1" applyBorder="1" applyAlignment="1" applyProtection="1">
      <alignment horizontal="center" vertical="center"/>
      <protection locked="0"/>
    </xf>
    <xf numFmtId="0" fontId="13" fillId="5" borderId="26" xfId="0" applyFont="1" applyFill="1" applyBorder="1" applyAlignment="1">
      <alignment horizontal="left" vertical="center" wrapText="1"/>
    </xf>
    <xf numFmtId="0" fontId="1" fillId="5" borderId="25" xfId="0" applyFont="1" applyFill="1" applyBorder="1" applyAlignment="1" applyProtection="1">
      <alignment horizontal="center" vertical="center" wrapText="1"/>
      <protection locked="0"/>
    </xf>
    <xf numFmtId="174" fontId="1" fillId="0" borderId="25" xfId="0" applyNumberFormat="1" applyFont="1" applyBorder="1" applyAlignment="1">
      <alignment horizontal="center" vertical="center" wrapText="1"/>
    </xf>
    <xf numFmtId="165" fontId="8" fillId="0" borderId="105" xfId="0" applyNumberFormat="1" applyFont="1" applyBorder="1" applyAlignment="1">
      <alignment horizontal="center" vertical="center" wrapText="1"/>
    </xf>
    <xf numFmtId="165" fontId="7" fillId="5" borderId="105" xfId="0" applyNumberFormat="1" applyFont="1" applyFill="1" applyBorder="1" applyAlignment="1" applyProtection="1">
      <alignment horizontal="center" vertical="center"/>
      <protection locked="0"/>
    </xf>
    <xf numFmtId="0" fontId="10" fillId="6" borderId="105" xfId="0" applyFont="1" applyFill="1" applyBorder="1" applyAlignment="1" applyProtection="1">
      <alignment vertical="center"/>
      <protection hidden="1"/>
    </xf>
    <xf numFmtId="165" fontId="7" fillId="5" borderId="112" xfId="0" applyNumberFormat="1" applyFont="1" applyFill="1" applyBorder="1" applyAlignment="1" applyProtection="1">
      <alignment horizontal="center" vertical="center"/>
      <protection locked="0"/>
    </xf>
    <xf numFmtId="0" fontId="10" fillId="7" borderId="112" xfId="0" applyFont="1" applyFill="1" applyBorder="1" applyAlignment="1" applyProtection="1">
      <alignment vertical="center"/>
      <protection hidden="1"/>
    </xf>
    <xf numFmtId="0" fontId="55" fillId="2" borderId="0" xfId="0" applyFont="1" applyFill="1" applyAlignment="1">
      <alignment vertical="center"/>
    </xf>
    <xf numFmtId="0" fontId="55" fillId="0" borderId="0" xfId="0" applyFont="1" applyAlignment="1">
      <alignment vertical="center"/>
    </xf>
    <xf numFmtId="0" fontId="55" fillId="2" borderId="7" xfId="0" applyFont="1" applyFill="1" applyBorder="1" applyAlignment="1">
      <alignment vertical="center"/>
    </xf>
    <xf numFmtId="0" fontId="55" fillId="2" borderId="3" xfId="0" applyFont="1" applyFill="1" applyBorder="1" applyAlignment="1">
      <alignment vertical="center"/>
    </xf>
    <xf numFmtId="0" fontId="55" fillId="0" borderId="7" xfId="0" applyFont="1" applyBorder="1" applyAlignment="1">
      <alignment vertical="center"/>
    </xf>
    <xf numFmtId="0" fontId="55" fillId="0" borderId="3" xfId="0" applyFont="1" applyBorder="1" applyAlignment="1">
      <alignment vertical="center"/>
    </xf>
    <xf numFmtId="0" fontId="42" fillId="2" borderId="0" xfId="0" applyFont="1" applyFill="1" applyAlignment="1">
      <alignment vertical="center"/>
    </xf>
    <xf numFmtId="0" fontId="54" fillId="2" borderId="0" xfId="0" applyFont="1" applyFill="1" applyAlignment="1">
      <alignment vertical="center"/>
    </xf>
    <xf numFmtId="0" fontId="54" fillId="0" borderId="0" xfId="0" applyFont="1" applyAlignment="1">
      <alignment vertical="center"/>
    </xf>
    <xf numFmtId="10" fontId="1" fillId="0" borderId="1" xfId="0" applyNumberFormat="1" applyFont="1" applyBorder="1" applyAlignment="1">
      <alignment horizontal="center" vertical="center"/>
    </xf>
    <xf numFmtId="165" fontId="55" fillId="0" borderId="0" xfId="0" applyNumberFormat="1" applyFont="1" applyAlignment="1">
      <alignment vertical="center"/>
    </xf>
    <xf numFmtId="0" fontId="59" fillId="2" borderId="0" xfId="0" applyFont="1" applyFill="1" applyAlignment="1">
      <alignment horizontal="center" vertical="center"/>
    </xf>
    <xf numFmtId="166" fontId="59" fillId="2" borderId="0" xfId="0" applyNumberFormat="1" applyFont="1" applyFill="1" applyAlignment="1">
      <alignment horizontal="center" vertical="center"/>
    </xf>
    <xf numFmtId="0" fontId="59" fillId="2" borderId="0" xfId="0" applyFont="1" applyFill="1" applyAlignment="1">
      <alignment horizontal="left" vertical="center"/>
    </xf>
    <xf numFmtId="0" fontId="60" fillId="2" borderId="0" xfId="0" applyFont="1" applyFill="1" applyAlignment="1">
      <alignment horizontal="center" vertical="center"/>
    </xf>
    <xf numFmtId="0" fontId="54" fillId="2" borderId="0" xfId="0" applyFont="1" applyFill="1" applyAlignment="1">
      <alignment horizontal="center" vertical="center"/>
    </xf>
    <xf numFmtId="165" fontId="54" fillId="2" borderId="0" xfId="0" applyNumberFormat="1" applyFont="1" applyFill="1" applyAlignment="1">
      <alignment horizontal="center" vertical="center" wrapText="1"/>
    </xf>
    <xf numFmtId="165" fontId="54" fillId="2" borderId="0" xfId="0" applyNumberFormat="1" applyFont="1" applyFill="1" applyAlignment="1">
      <alignment horizontal="center" vertical="center"/>
    </xf>
    <xf numFmtId="0" fontId="8" fillId="2" borderId="0" xfId="0" applyFont="1" applyFill="1" applyAlignment="1">
      <alignment horizontal="center" vertical="center" wrapText="1"/>
    </xf>
    <xf numFmtId="165" fontId="61" fillId="2" borderId="0" xfId="0" applyNumberFormat="1" applyFont="1" applyFill="1" applyAlignment="1">
      <alignment horizontal="center" vertical="center" wrapText="1"/>
    </xf>
    <xf numFmtId="0" fontId="51" fillId="0" borderId="1" xfId="0" applyFont="1" applyBorder="1" applyAlignment="1">
      <alignment vertical="center"/>
    </xf>
    <xf numFmtId="0" fontId="9" fillId="2" borderId="7" xfId="0" applyFont="1" applyFill="1" applyBorder="1" applyAlignment="1">
      <alignment vertical="center"/>
    </xf>
    <xf numFmtId="0" fontId="9" fillId="2" borderId="0" xfId="0" applyFont="1" applyFill="1" applyAlignment="1">
      <alignment vertical="center"/>
    </xf>
    <xf numFmtId="0" fontId="9" fillId="2" borderId="3" xfId="0" applyFont="1" applyFill="1" applyBorder="1" applyAlignment="1">
      <alignment vertical="center"/>
    </xf>
    <xf numFmtId="0" fontId="42" fillId="2" borderId="133" xfId="0" applyFont="1" applyFill="1" applyBorder="1" applyAlignment="1">
      <alignment vertical="center"/>
    </xf>
    <xf numFmtId="0" fontId="58" fillId="2" borderId="0" xfId="0" applyFont="1" applyFill="1" applyBorder="1" applyAlignment="1">
      <alignment vertical="center"/>
    </xf>
    <xf numFmtId="10" fontId="58" fillId="2" borderId="89" xfId="0" applyNumberFormat="1" applyFont="1" applyFill="1" applyBorder="1" applyAlignment="1">
      <alignment horizontal="center" vertical="center"/>
    </xf>
    <xf numFmtId="10" fontId="42" fillId="0" borderId="105" xfId="0" applyNumberFormat="1" applyFont="1" applyBorder="1" applyAlignment="1">
      <alignment horizontal="center" vertical="center"/>
    </xf>
    <xf numFmtId="10" fontId="65" fillId="0" borderId="105" xfId="0" applyNumberFormat="1" applyFont="1" applyBorder="1" applyAlignment="1">
      <alignment horizontal="center" vertical="center"/>
    </xf>
    <xf numFmtId="9" fontId="42" fillId="0" borderId="105" xfId="0" applyNumberFormat="1" applyFont="1" applyBorder="1" applyAlignment="1">
      <alignment horizontal="center" vertical="center"/>
    </xf>
    <xf numFmtId="10" fontId="58" fillId="0" borderId="105" xfId="0" applyNumberFormat="1" applyFont="1" applyBorder="1" applyAlignment="1">
      <alignment horizontal="center" vertical="center"/>
    </xf>
    <xf numFmtId="0" fontId="51" fillId="10" borderId="112" xfId="0" applyFont="1" applyFill="1" applyBorder="1" applyAlignment="1">
      <alignment vertical="center"/>
    </xf>
    <xf numFmtId="0" fontId="62" fillId="10" borderId="80" xfId="0" applyFont="1" applyFill="1" applyBorder="1" applyAlignment="1">
      <alignment horizontal="center" vertical="center"/>
    </xf>
    <xf numFmtId="0" fontId="42" fillId="2" borderId="140" xfId="0" applyFont="1" applyFill="1" applyBorder="1" applyAlignment="1">
      <alignment vertical="center"/>
    </xf>
    <xf numFmtId="0" fontId="51" fillId="10" borderId="77" xfId="0" applyFont="1" applyFill="1" applyBorder="1" applyAlignment="1">
      <alignment horizontal="center" vertical="center"/>
    </xf>
    <xf numFmtId="44" fontId="65" fillId="0" borderId="116" xfId="0" applyNumberFormat="1" applyFont="1" applyBorder="1" applyAlignment="1">
      <alignment horizontal="center" vertical="center"/>
    </xf>
    <xf numFmtId="0" fontId="51" fillId="10" borderId="141" xfId="0" applyFont="1" applyFill="1" applyBorder="1" applyAlignment="1">
      <alignment horizontal="center" vertical="center"/>
    </xf>
    <xf numFmtId="0" fontId="42" fillId="2" borderId="127" xfId="0" applyFont="1" applyFill="1" applyBorder="1" applyAlignment="1">
      <alignment vertical="center"/>
    </xf>
    <xf numFmtId="165" fontId="65" fillId="0" borderId="110" xfId="0" applyNumberFormat="1" applyFont="1" applyBorder="1" applyAlignment="1">
      <alignment horizontal="center" vertical="center"/>
    </xf>
    <xf numFmtId="0" fontId="51" fillId="10" borderId="83" xfId="0" applyFont="1" applyFill="1" applyBorder="1" applyAlignment="1">
      <alignment horizontal="center" vertical="center"/>
    </xf>
    <xf numFmtId="0" fontId="42" fillId="2" borderId="136" xfId="0" applyFont="1" applyFill="1" applyBorder="1" applyAlignment="1">
      <alignment vertical="center"/>
    </xf>
    <xf numFmtId="170" fontId="65" fillId="0" borderId="110" xfId="0" applyNumberFormat="1" applyFont="1" applyBorder="1" applyAlignment="1">
      <alignment horizontal="center" vertical="center"/>
    </xf>
    <xf numFmtId="0" fontId="51" fillId="10" borderId="80" xfId="0" applyFont="1" applyFill="1" applyBorder="1" applyAlignment="1">
      <alignment horizontal="center" vertical="center"/>
    </xf>
    <xf numFmtId="171" fontId="65" fillId="0" borderId="113" xfId="0" applyNumberFormat="1" applyFont="1" applyBorder="1" applyAlignment="1">
      <alignment horizontal="center" vertical="center"/>
    </xf>
    <xf numFmtId="0" fontId="54" fillId="10" borderId="139" xfId="0" applyFont="1" applyFill="1" applyBorder="1" applyAlignment="1">
      <alignment horizontal="center" vertical="center"/>
    </xf>
    <xf numFmtId="0" fontId="58" fillId="2" borderId="136" xfId="0" applyFont="1" applyFill="1" applyBorder="1" applyAlignment="1">
      <alignment vertical="center"/>
    </xf>
    <xf numFmtId="0" fontId="42" fillId="2" borderId="0" xfId="0" applyFont="1" applyFill="1" applyBorder="1" applyAlignment="1">
      <alignment vertical="center"/>
    </xf>
    <xf numFmtId="44" fontId="65" fillId="0" borderId="110" xfId="0" applyNumberFormat="1" applyFont="1" applyBorder="1" applyAlignment="1">
      <alignment horizontal="center" vertical="center"/>
    </xf>
    <xf numFmtId="165" fontId="65" fillId="5" borderId="110" xfId="0" applyNumberFormat="1" applyFont="1" applyFill="1" applyBorder="1" applyAlignment="1" applyProtection="1">
      <alignment horizontal="center" vertical="center"/>
      <protection locked="0"/>
    </xf>
    <xf numFmtId="165" fontId="65" fillId="5" borderId="120" xfId="0" applyNumberFormat="1" applyFont="1" applyFill="1" applyBorder="1" applyAlignment="1" applyProtection="1">
      <alignment horizontal="center" vertical="center"/>
      <protection locked="0"/>
    </xf>
    <xf numFmtId="0" fontId="51" fillId="0" borderId="141" xfId="0" applyFont="1" applyBorder="1" applyAlignment="1">
      <alignment horizontal="center" vertical="center"/>
    </xf>
    <xf numFmtId="10" fontId="58" fillId="0" borderId="148" xfId="0" applyNumberFormat="1" applyFont="1" applyBorder="1" applyAlignment="1">
      <alignment horizontal="center" vertical="center"/>
    </xf>
    <xf numFmtId="44" fontId="51" fillId="0" borderId="149" xfId="0" applyNumberFormat="1" applyFont="1" applyBorder="1" applyAlignment="1">
      <alignment horizontal="center" vertical="center"/>
    </xf>
    <xf numFmtId="0" fontId="42" fillId="2" borderId="105" xfId="0" applyFont="1" applyFill="1" applyBorder="1" applyAlignment="1">
      <alignment horizontal="center" vertical="center"/>
    </xf>
    <xf numFmtId="0" fontId="54" fillId="10" borderId="109" xfId="0" applyFont="1" applyFill="1" applyBorder="1" applyAlignment="1">
      <alignment horizontal="center" vertical="center"/>
    </xf>
    <xf numFmtId="44" fontId="42" fillId="0" borderId="110" xfId="0" applyNumberFormat="1" applyFont="1" applyBorder="1" applyAlignment="1">
      <alignment horizontal="center" vertical="center"/>
    </xf>
    <xf numFmtId="44" fontId="42" fillId="2" borderId="120" xfId="0" applyNumberFormat="1" applyFont="1" applyFill="1" applyBorder="1" applyAlignment="1" applyProtection="1">
      <alignment horizontal="center" vertical="center"/>
      <protection locked="0"/>
    </xf>
    <xf numFmtId="0" fontId="51" fillId="10" borderId="85" xfId="0" applyFont="1" applyFill="1" applyBorder="1" applyAlignment="1">
      <alignment horizontal="center" vertical="center"/>
    </xf>
    <xf numFmtId="0" fontId="51" fillId="0" borderId="156" xfId="0" applyFont="1" applyBorder="1" applyAlignment="1">
      <alignment horizontal="center" vertical="center"/>
    </xf>
    <xf numFmtId="0" fontId="51" fillId="0" borderId="157" xfId="0" applyFont="1" applyBorder="1" applyAlignment="1">
      <alignment horizontal="center" vertical="center"/>
    </xf>
    <xf numFmtId="44" fontId="42" fillId="0" borderId="120" xfId="0" applyNumberFormat="1" applyFont="1" applyBorder="1" applyAlignment="1">
      <alignment horizontal="center" vertical="center"/>
    </xf>
    <xf numFmtId="0" fontId="51" fillId="10" borderId="161" xfId="0" applyFont="1" applyFill="1" applyBorder="1" applyAlignment="1">
      <alignment horizontal="center" vertical="center"/>
    </xf>
    <xf numFmtId="0" fontId="42" fillId="0" borderId="148" xfId="0" applyFont="1" applyBorder="1" applyAlignment="1">
      <alignment horizontal="center" vertical="center"/>
    </xf>
    <xf numFmtId="44" fontId="65" fillId="0" borderId="120" xfId="0" applyNumberFormat="1" applyFont="1" applyBorder="1" applyAlignment="1">
      <alignment horizontal="center" vertical="center"/>
    </xf>
    <xf numFmtId="0" fontId="62" fillId="10" borderId="168" xfId="0" applyFont="1" applyFill="1" applyBorder="1" applyAlignment="1">
      <alignment horizontal="center" vertical="center"/>
    </xf>
    <xf numFmtId="0" fontId="55" fillId="2" borderId="0" xfId="0" applyFont="1" applyFill="1" applyBorder="1" applyAlignment="1">
      <alignment vertical="center"/>
    </xf>
    <xf numFmtId="0" fontId="62" fillId="10" borderId="169" xfId="0" applyFont="1" applyFill="1" applyBorder="1" applyAlignment="1">
      <alignment horizontal="center" vertical="center"/>
    </xf>
    <xf numFmtId="0" fontId="62" fillId="10" borderId="85" xfId="0" applyFont="1" applyFill="1" applyBorder="1" applyAlignment="1">
      <alignment horizontal="center" vertical="center"/>
    </xf>
    <xf numFmtId="0" fontId="42" fillId="0" borderId="148" xfId="0" applyFont="1" applyBorder="1" applyAlignment="1">
      <alignment horizontal="center" vertical="center"/>
    </xf>
    <xf numFmtId="0" fontId="54" fillId="0" borderId="0" xfId="0" applyFont="1" applyAlignment="1">
      <alignment horizontal="center"/>
    </xf>
    <xf numFmtId="44" fontId="54" fillId="0" borderId="0" xfId="0" applyNumberFormat="1" applyFont="1" applyAlignment="1">
      <alignment horizontal="center"/>
    </xf>
    <xf numFmtId="165" fontId="54" fillId="0" borderId="0" xfId="0" applyNumberFormat="1" applyFont="1" applyAlignment="1">
      <alignment horizontal="center"/>
    </xf>
    <xf numFmtId="10" fontId="54" fillId="0" borderId="0" xfId="0" applyNumberFormat="1" applyFont="1" applyAlignment="1">
      <alignment horizontal="center"/>
    </xf>
    <xf numFmtId="179" fontId="55" fillId="0" borderId="0" xfId="0" applyNumberFormat="1" applyFont="1" applyAlignment="1">
      <alignment vertical="center"/>
    </xf>
    <xf numFmtId="44" fontId="42" fillId="0" borderId="116" xfId="0" applyNumberFormat="1" applyFont="1" applyBorder="1" applyAlignment="1">
      <alignment horizontal="center" vertical="center"/>
    </xf>
    <xf numFmtId="0" fontId="54" fillId="10" borderId="119" xfId="0" applyFont="1" applyFill="1" applyBorder="1" applyAlignment="1">
      <alignment horizontal="center" vertical="center"/>
    </xf>
    <xf numFmtId="10" fontId="65" fillId="0" borderId="121" xfId="0" applyNumberFormat="1" applyFont="1" applyBorder="1" applyAlignment="1">
      <alignment horizontal="center" vertical="center"/>
    </xf>
    <xf numFmtId="10" fontId="68" fillId="24" borderId="81" xfId="0" applyNumberFormat="1" applyFont="1" applyFill="1" applyBorder="1" applyAlignment="1">
      <alignment horizontal="center" vertical="center"/>
    </xf>
    <xf numFmtId="44" fontId="69" fillId="24" borderId="150" xfId="0" applyNumberFormat="1" applyFont="1" applyFill="1" applyBorder="1" applyAlignment="1">
      <alignment horizontal="center" vertical="center"/>
    </xf>
    <xf numFmtId="10" fontId="70" fillId="24" borderId="86" xfId="0" applyNumberFormat="1" applyFont="1" applyFill="1" applyBorder="1" applyAlignment="1">
      <alignment horizontal="center" vertical="center"/>
    </xf>
    <xf numFmtId="44" fontId="69" fillId="24" borderId="155" xfId="0" applyNumberFormat="1" applyFont="1" applyFill="1" applyBorder="1" applyAlignment="1">
      <alignment horizontal="center" vertical="center"/>
    </xf>
    <xf numFmtId="44" fontId="71" fillId="24" borderId="155" xfId="0" applyNumberFormat="1" applyFont="1" applyFill="1" applyBorder="1" applyAlignment="1">
      <alignment horizontal="center" vertical="center"/>
    </xf>
    <xf numFmtId="0" fontId="42" fillId="0" borderId="173" xfId="0" applyFont="1" applyBorder="1" applyAlignment="1">
      <alignment vertical="center"/>
    </xf>
    <xf numFmtId="0" fontId="42" fillId="0" borderId="174" xfId="0" applyFont="1" applyBorder="1" applyAlignment="1">
      <alignment horizontal="center" vertical="center"/>
    </xf>
    <xf numFmtId="0" fontId="42" fillId="0" borderId="79" xfId="0" applyFont="1" applyBorder="1" applyAlignment="1">
      <alignment horizontal="center" vertical="center"/>
    </xf>
    <xf numFmtId="180" fontId="50" fillId="0" borderId="0" xfId="4" applyNumberFormat="1"/>
    <xf numFmtId="10" fontId="74" fillId="0" borderId="79" xfId="4" applyNumberFormat="1" applyFont="1" applyBorder="1" applyAlignment="1">
      <alignment horizontal="center" vertical="center"/>
    </xf>
    <xf numFmtId="44" fontId="42" fillId="0" borderId="175" xfId="0" applyNumberFormat="1" applyFont="1" applyBorder="1" applyAlignment="1">
      <alignment horizontal="center" vertical="center"/>
    </xf>
    <xf numFmtId="44" fontId="42" fillId="0" borderId="149" xfId="0" applyNumberFormat="1" applyFont="1" applyBorder="1" applyAlignment="1">
      <alignment horizontal="center" vertical="center"/>
    </xf>
    <xf numFmtId="0" fontId="65" fillId="0" borderId="0" xfId="0" applyFont="1" applyAlignment="1">
      <alignment vertical="center"/>
    </xf>
    <xf numFmtId="44" fontId="71" fillId="10" borderId="63" xfId="0" applyNumberFormat="1" applyFont="1" applyFill="1" applyBorder="1" applyAlignment="1">
      <alignment horizontal="center" vertical="center"/>
    </xf>
    <xf numFmtId="44" fontId="71" fillId="24" borderId="110" xfId="0" applyNumberFormat="1" applyFont="1" applyFill="1" applyBorder="1" applyAlignment="1">
      <alignment horizontal="center" vertical="center"/>
    </xf>
    <xf numFmtId="44" fontId="71" fillId="24" borderId="63" xfId="0" applyNumberFormat="1" applyFont="1" applyFill="1" applyBorder="1" applyAlignment="1">
      <alignment horizontal="center" vertical="center"/>
    </xf>
    <xf numFmtId="0" fontId="51" fillId="10" borderId="8" xfId="0" applyFont="1" applyFill="1" applyBorder="1" applyAlignment="1">
      <alignment horizontal="center" vertical="center"/>
    </xf>
    <xf numFmtId="10" fontId="42" fillId="0" borderId="105" xfId="4" applyNumberFormat="1" applyFont="1" applyBorder="1" applyAlignment="1">
      <alignment horizontal="center" vertical="center"/>
    </xf>
    <xf numFmtId="44" fontId="42" fillId="0" borderId="105" xfId="0" applyNumberFormat="1" applyFont="1" applyBorder="1" applyAlignment="1">
      <alignment horizontal="center" vertical="center"/>
    </xf>
    <xf numFmtId="0" fontId="51" fillId="10" borderId="177" xfId="0" applyFont="1" applyFill="1" applyBorder="1" applyAlignment="1">
      <alignment horizontal="center" vertical="center"/>
    </xf>
    <xf numFmtId="10" fontId="42" fillId="0" borderId="138" xfId="0" applyNumberFormat="1" applyFont="1" applyBorder="1" applyAlignment="1">
      <alignment horizontal="center" vertical="center"/>
    </xf>
    <xf numFmtId="44" fontId="42" fillId="0" borderId="139" xfId="0" applyNumberFormat="1" applyFont="1" applyBorder="1" applyAlignment="1">
      <alignment horizontal="center" vertical="center"/>
    </xf>
    <xf numFmtId="0" fontId="51" fillId="5" borderId="148" xfId="0" applyFont="1" applyFill="1" applyBorder="1" applyAlignment="1" applyProtection="1">
      <alignment horizontal="center" vertical="center"/>
      <protection locked="0"/>
    </xf>
    <xf numFmtId="9" fontId="51" fillId="5" borderId="151" xfId="0" applyNumberFormat="1" applyFont="1" applyFill="1" applyBorder="1" applyAlignment="1" applyProtection="1">
      <alignment horizontal="center" vertical="center"/>
      <protection locked="0"/>
    </xf>
    <xf numFmtId="10" fontId="51" fillId="5" borderId="151" xfId="0" applyNumberFormat="1" applyFont="1" applyFill="1" applyBorder="1" applyAlignment="1" applyProtection="1">
      <alignment horizontal="center" vertical="center"/>
      <protection locked="0"/>
    </xf>
    <xf numFmtId="0" fontId="51" fillId="5" borderId="151" xfId="0" applyFont="1" applyFill="1" applyBorder="1" applyAlignment="1" applyProtection="1">
      <alignment horizontal="center" vertical="center"/>
      <protection locked="0"/>
    </xf>
    <xf numFmtId="10" fontId="42" fillId="0" borderId="121" xfId="4" applyNumberFormat="1" applyFont="1" applyBorder="1" applyAlignment="1">
      <alignment horizontal="center" vertical="center"/>
    </xf>
    <xf numFmtId="10" fontId="69" fillId="25" borderId="62" xfId="0" applyNumberFormat="1" applyFont="1" applyFill="1" applyBorder="1" applyAlignment="1">
      <alignment horizontal="center" vertical="center"/>
    </xf>
    <xf numFmtId="44" fontId="69" fillId="25" borderId="63" xfId="0" applyNumberFormat="1" applyFont="1" applyFill="1" applyBorder="1" applyAlignment="1">
      <alignment horizontal="center" vertical="center"/>
    </xf>
    <xf numFmtId="44" fontId="71" fillId="24" borderId="93" xfId="0" applyNumberFormat="1" applyFont="1" applyFill="1" applyBorder="1" applyAlignment="1">
      <alignment horizontal="center" vertical="center"/>
    </xf>
    <xf numFmtId="10" fontId="58" fillId="0" borderId="115" xfId="0" applyNumberFormat="1" applyFont="1" applyBorder="1" applyAlignment="1">
      <alignment horizontal="center" vertical="center"/>
    </xf>
    <xf numFmtId="0" fontId="13" fillId="5" borderId="68" xfId="0" applyFont="1" applyFill="1" applyBorder="1" applyAlignment="1" applyProtection="1">
      <alignment horizontal="center" vertical="center"/>
      <protection locked="0" hidden="1"/>
    </xf>
    <xf numFmtId="165" fontId="13" fillId="5" borderId="39" xfId="0" applyNumberFormat="1" applyFont="1" applyFill="1" applyBorder="1" applyAlignment="1" applyProtection="1">
      <alignment horizontal="center" vertical="center"/>
      <protection locked="0" hidden="1"/>
    </xf>
    <xf numFmtId="165" fontId="13" fillId="5" borderId="39" xfId="0" applyNumberFormat="1" applyFont="1" applyFill="1" applyBorder="1" applyAlignment="1" applyProtection="1">
      <alignment horizontal="center" vertical="center" wrapText="1"/>
      <protection locked="0" hidden="1"/>
    </xf>
    <xf numFmtId="165" fontId="13" fillId="5" borderId="48" xfId="0" applyNumberFormat="1" applyFont="1" applyFill="1" applyBorder="1" applyAlignment="1" applyProtection="1">
      <alignment horizontal="center" vertical="center" wrapText="1"/>
      <protection locked="0" hidden="1"/>
    </xf>
    <xf numFmtId="165" fontId="13" fillId="5" borderId="48" xfId="0" applyNumberFormat="1" applyFont="1" applyFill="1" applyBorder="1" applyAlignment="1" applyProtection="1">
      <alignment horizontal="center" vertical="center"/>
      <protection locked="0" hidden="1"/>
    </xf>
    <xf numFmtId="10" fontId="13" fillId="5" borderId="50" xfId="0" applyNumberFormat="1" applyFont="1" applyFill="1" applyBorder="1" applyAlignment="1" applyProtection="1">
      <alignment horizontal="center" vertical="center"/>
      <protection locked="0" hidden="1"/>
    </xf>
    <xf numFmtId="10" fontId="13" fillId="5" borderId="50" xfId="0" applyNumberFormat="1" applyFont="1" applyFill="1" applyBorder="1" applyAlignment="1" applyProtection="1">
      <alignment horizontal="center" vertical="center" wrapText="1"/>
      <protection locked="0" hidden="1"/>
    </xf>
    <xf numFmtId="10" fontId="13" fillId="5" borderId="51" xfId="0" applyNumberFormat="1" applyFont="1" applyFill="1" applyBorder="1" applyAlignment="1" applyProtection="1">
      <alignment horizontal="center" vertical="center" wrapText="1"/>
      <protection locked="0" hidden="1"/>
    </xf>
    <xf numFmtId="165" fontId="75" fillId="2" borderId="45" xfId="0" applyNumberFormat="1" applyFont="1" applyFill="1" applyBorder="1" applyAlignment="1" applyProtection="1">
      <alignment horizontal="center" vertical="center"/>
      <protection hidden="1"/>
    </xf>
    <xf numFmtId="165" fontId="75" fillId="2" borderId="46" xfId="0" applyNumberFormat="1" applyFont="1" applyFill="1" applyBorder="1" applyAlignment="1" applyProtection="1">
      <alignment horizontal="center" vertical="center"/>
      <protection hidden="1"/>
    </xf>
    <xf numFmtId="0" fontId="8" fillId="5" borderId="39" xfId="0" applyFont="1" applyFill="1" applyBorder="1" applyAlignment="1" applyProtection="1">
      <alignment horizontal="center" vertical="center"/>
      <protection locked="0" hidden="1"/>
    </xf>
    <xf numFmtId="0" fontId="8" fillId="5" borderId="39" xfId="0" applyFont="1" applyFill="1" applyBorder="1" applyAlignment="1" applyProtection="1">
      <alignment horizontal="center" vertical="center" wrapText="1"/>
      <protection locked="0" hidden="1"/>
    </xf>
    <xf numFmtId="0" fontId="8" fillId="5" borderId="48" xfId="0" applyFont="1" applyFill="1" applyBorder="1" applyAlignment="1" applyProtection="1">
      <alignment horizontal="center" vertical="center" wrapText="1"/>
      <protection locked="0" hidden="1"/>
    </xf>
    <xf numFmtId="165" fontId="76" fillId="6" borderId="39" xfId="0" applyNumberFormat="1" applyFont="1" applyFill="1" applyBorder="1" applyAlignment="1" applyProtection="1">
      <alignment horizontal="center" vertical="center"/>
      <protection hidden="1"/>
    </xf>
    <xf numFmtId="165" fontId="76" fillId="6" borderId="39" xfId="0" applyNumberFormat="1" applyFont="1" applyFill="1" applyBorder="1" applyAlignment="1" applyProtection="1">
      <alignment horizontal="center" vertical="center" wrapText="1"/>
      <protection hidden="1"/>
    </xf>
    <xf numFmtId="165" fontId="76" fillId="6" borderId="48" xfId="0" applyNumberFormat="1" applyFont="1" applyFill="1" applyBorder="1" applyAlignment="1" applyProtection="1">
      <alignment horizontal="center" vertical="center" wrapText="1"/>
      <protection hidden="1"/>
    </xf>
    <xf numFmtId="165" fontId="76" fillId="7" borderId="43" xfId="0" applyNumberFormat="1" applyFont="1" applyFill="1" applyBorder="1" applyAlignment="1" applyProtection="1">
      <alignment horizontal="center" vertical="center"/>
      <protection hidden="1"/>
    </xf>
    <xf numFmtId="165" fontId="76" fillId="7" borderId="53" xfId="0" applyNumberFormat="1" applyFont="1" applyFill="1" applyBorder="1" applyAlignment="1" applyProtection="1">
      <alignment horizontal="center" vertical="center"/>
      <protection hidden="1"/>
    </xf>
    <xf numFmtId="10" fontId="8" fillId="5" borderId="116" xfId="0" applyNumberFormat="1" applyFont="1" applyFill="1" applyBorder="1" applyAlignment="1" applyProtection="1">
      <alignment horizontal="center" vertical="center"/>
      <protection locked="0" hidden="1"/>
    </xf>
    <xf numFmtId="168" fontId="8" fillId="5" borderId="110" xfId="0" applyNumberFormat="1" applyFont="1" applyFill="1" applyBorder="1" applyAlignment="1" applyProtection="1">
      <alignment horizontal="center" vertical="center"/>
      <protection locked="0" hidden="1"/>
    </xf>
    <xf numFmtId="10" fontId="8" fillId="5" borderId="110" xfId="0" applyNumberFormat="1" applyFont="1" applyFill="1" applyBorder="1" applyAlignment="1" applyProtection="1">
      <alignment horizontal="center" vertical="center"/>
      <protection locked="0" hidden="1"/>
    </xf>
    <xf numFmtId="10" fontId="8" fillId="5" borderId="113" xfId="0" applyNumberFormat="1" applyFont="1" applyFill="1" applyBorder="1" applyAlignment="1" applyProtection="1">
      <alignment horizontal="center" vertical="center"/>
      <protection locked="0" hidden="1"/>
    </xf>
    <xf numFmtId="10" fontId="8" fillId="5" borderId="108" xfId="0" applyNumberFormat="1" applyFont="1" applyFill="1" applyBorder="1" applyAlignment="1" applyProtection="1">
      <alignment horizontal="center" vertical="center"/>
      <protection locked="0" hidden="1"/>
    </xf>
    <xf numFmtId="10" fontId="8" fillId="5" borderId="76" xfId="0" applyNumberFormat="1" applyFont="1" applyFill="1" applyBorder="1" applyAlignment="1" applyProtection="1">
      <alignment horizontal="center" vertical="center"/>
      <protection locked="0" hidden="1"/>
    </xf>
    <xf numFmtId="165" fontId="8" fillId="5" borderId="105" xfId="0" applyNumberFormat="1" applyFont="1" applyFill="1" applyBorder="1" applyAlignment="1" applyProtection="1">
      <alignment horizontal="center" vertical="center"/>
      <protection locked="0" hidden="1"/>
    </xf>
    <xf numFmtId="10" fontId="8" fillId="5" borderId="105" xfId="0" applyNumberFormat="1" applyFont="1" applyFill="1" applyBorder="1" applyAlignment="1" applyProtection="1">
      <alignment horizontal="center" vertical="center"/>
      <protection locked="0" hidden="1"/>
    </xf>
    <xf numFmtId="44" fontId="78" fillId="0" borderId="108" xfId="0" applyNumberFormat="1" applyFont="1" applyBorder="1" applyAlignment="1" applyProtection="1">
      <alignment horizontal="center" vertical="center"/>
      <protection hidden="1"/>
    </xf>
    <xf numFmtId="44" fontId="78" fillId="0" borderId="113" xfId="0" applyNumberFormat="1" applyFont="1" applyBorder="1" applyAlignment="1" applyProtection="1">
      <alignment horizontal="center" vertical="center"/>
      <protection hidden="1"/>
    </xf>
    <xf numFmtId="44" fontId="78" fillId="0" borderId="110" xfId="0" applyNumberFormat="1" applyFont="1" applyBorder="1" applyAlignment="1" applyProtection="1">
      <alignment horizontal="center" vertical="center"/>
      <protection hidden="1"/>
    </xf>
    <xf numFmtId="44" fontId="4" fillId="9" borderId="113" xfId="0" applyNumberFormat="1" applyFont="1" applyFill="1" applyBorder="1" applyAlignment="1" applyProtection="1">
      <alignment horizontal="center" vertical="center"/>
      <protection hidden="1"/>
    </xf>
    <xf numFmtId="44" fontId="16" fillId="5" borderId="110" xfId="0" applyNumberFormat="1" applyFont="1" applyFill="1" applyBorder="1" applyAlignment="1" applyProtection="1">
      <alignment horizontal="center" vertical="center"/>
      <protection locked="0" hidden="1"/>
    </xf>
    <xf numFmtId="44" fontId="16" fillId="5" borderId="120" xfId="0" applyNumberFormat="1" applyFont="1" applyFill="1" applyBorder="1" applyAlignment="1" applyProtection="1">
      <alignment horizontal="center" vertical="center"/>
      <protection locked="0" hidden="1"/>
    </xf>
    <xf numFmtId="44" fontId="4" fillId="9" borderId="63" xfId="0" applyNumberFormat="1" applyFont="1" applyFill="1" applyBorder="1" applyAlignment="1" applyProtection="1">
      <alignment horizontal="center" vertical="center"/>
      <protection hidden="1"/>
    </xf>
    <xf numFmtId="44" fontId="16" fillId="5" borderId="108" xfId="0" applyNumberFormat="1" applyFont="1" applyFill="1" applyBorder="1" applyAlignment="1" applyProtection="1">
      <alignment horizontal="center" vertical="center"/>
      <protection locked="0" hidden="1"/>
    </xf>
    <xf numFmtId="44" fontId="78" fillId="0" borderId="110" xfId="0" applyNumberFormat="1" applyFont="1" applyBorder="1" applyAlignment="1">
      <alignment horizontal="center" vertical="center"/>
    </xf>
    <xf numFmtId="44" fontId="4" fillId="9" borderId="113" xfId="0" applyNumberFormat="1" applyFont="1" applyFill="1" applyBorder="1" applyAlignment="1">
      <alignment horizontal="center" vertical="center"/>
    </xf>
    <xf numFmtId="44" fontId="78" fillId="0" borderId="108" xfId="0" applyNumberFormat="1" applyFont="1" applyBorder="1" applyAlignment="1">
      <alignment horizontal="center" vertical="center"/>
    </xf>
    <xf numFmtId="44" fontId="14" fillId="2" borderId="0" xfId="1" applyNumberFormat="1" applyFont="1" applyFill="1" applyAlignment="1">
      <alignment horizontal="center" vertical="center" wrapText="1"/>
    </xf>
    <xf numFmtId="44" fontId="79" fillId="8" borderId="93" xfId="0" applyNumberFormat="1" applyFont="1" applyFill="1" applyBorder="1" applyAlignment="1">
      <alignment horizontal="center" vertical="center"/>
    </xf>
    <xf numFmtId="0" fontId="51" fillId="10" borderId="105" xfId="0" applyFont="1" applyFill="1" applyBorder="1" applyAlignment="1">
      <alignment horizontal="center" vertical="center"/>
    </xf>
    <xf numFmtId="0" fontId="51" fillId="10" borderId="105" xfId="0" applyFont="1" applyFill="1" applyBorder="1" applyAlignment="1">
      <alignment horizontal="center" vertical="center"/>
    </xf>
    <xf numFmtId="44" fontId="57" fillId="0" borderId="13" xfId="0" applyNumberFormat="1" applyFont="1" applyBorder="1" applyAlignment="1">
      <alignment horizontal="center" vertical="center"/>
    </xf>
    <xf numFmtId="44" fontId="57" fillId="0" borderId="184" xfId="0" applyNumberFormat="1" applyFont="1" applyBorder="1" applyAlignment="1">
      <alignment horizontal="center" vertical="center"/>
    </xf>
    <xf numFmtId="44" fontId="69" fillId="25" borderId="42" xfId="0" applyNumberFormat="1" applyFont="1" applyFill="1" applyBorder="1" applyAlignment="1">
      <alignment horizontal="center" vertical="center"/>
    </xf>
    <xf numFmtId="44" fontId="51" fillId="0" borderId="13" xfId="0" applyNumberFormat="1" applyFont="1" applyBorder="1" applyAlignment="1">
      <alignment horizontal="center" vertical="center"/>
    </xf>
    <xf numFmtId="44" fontId="51" fillId="0" borderId="184" xfId="0" applyNumberFormat="1" applyFont="1" applyBorder="1" applyAlignment="1">
      <alignment horizontal="center" vertical="center"/>
    </xf>
    <xf numFmtId="0" fontId="51" fillId="10" borderId="114" xfId="0" applyFont="1" applyFill="1" applyBorder="1" applyAlignment="1">
      <alignment horizontal="center" vertical="center"/>
    </xf>
    <xf numFmtId="0" fontId="51" fillId="10" borderId="109" xfId="0" applyFont="1" applyFill="1" applyBorder="1" applyAlignment="1">
      <alignment horizontal="center" vertical="center"/>
    </xf>
    <xf numFmtId="0" fontId="51" fillId="10" borderId="109" xfId="0" applyFont="1" applyFill="1" applyBorder="1" applyAlignment="1">
      <alignment horizontal="center" vertical="center"/>
    </xf>
    <xf numFmtId="44" fontId="42" fillId="5" borderId="110" xfId="0" applyNumberFormat="1" applyFont="1" applyFill="1" applyBorder="1" applyAlignment="1" applyProtection="1">
      <alignment horizontal="center" vertical="center"/>
      <protection locked="0"/>
    </xf>
    <xf numFmtId="0" fontId="54" fillId="10" borderId="7" xfId="0" applyFont="1" applyFill="1" applyBorder="1" applyAlignment="1">
      <alignment vertical="center"/>
    </xf>
    <xf numFmtId="0" fontId="54" fillId="10" borderId="136" xfId="0" applyFont="1" applyFill="1" applyBorder="1" applyAlignment="1">
      <alignment vertical="center"/>
    </xf>
    <xf numFmtId="165" fontId="57" fillId="10" borderId="134" xfId="0" applyNumberFormat="1" applyFont="1" applyFill="1" applyBorder="1" applyAlignment="1">
      <alignment horizontal="center" vertical="center"/>
    </xf>
    <xf numFmtId="0" fontId="51" fillId="10" borderId="188" xfId="0" applyFont="1" applyFill="1" applyBorder="1" applyAlignment="1">
      <alignment horizontal="center" vertical="center"/>
    </xf>
    <xf numFmtId="0" fontId="51" fillId="2" borderId="127" xfId="0" applyFont="1" applyFill="1" applyBorder="1" applyAlignment="1">
      <alignment vertical="center"/>
    </xf>
    <xf numFmtId="0" fontId="51" fillId="10" borderId="189" xfId="0" applyFont="1" applyFill="1" applyBorder="1" applyAlignment="1">
      <alignment horizontal="center" vertical="center"/>
    </xf>
    <xf numFmtId="0" fontId="51" fillId="2" borderId="136" xfId="0" applyFont="1" applyFill="1" applyBorder="1" applyAlignment="1">
      <alignment vertical="center"/>
    </xf>
    <xf numFmtId="0" fontId="51" fillId="10" borderId="116" xfId="0" applyFont="1" applyFill="1" applyBorder="1" applyAlignment="1">
      <alignment horizontal="center" vertical="center"/>
    </xf>
    <xf numFmtId="10" fontId="42" fillId="2" borderId="105" xfId="0" applyNumberFormat="1" applyFont="1" applyFill="1" applyBorder="1" applyAlignment="1">
      <alignment horizontal="center" vertical="center"/>
    </xf>
    <xf numFmtId="0" fontId="81" fillId="2" borderId="105" xfId="0" applyFont="1" applyFill="1" applyBorder="1" applyAlignment="1">
      <alignment horizontal="center" vertical="center" wrapText="1"/>
    </xf>
    <xf numFmtId="10" fontId="42" fillId="0" borderId="105" xfId="0" applyNumberFormat="1" applyFont="1" applyBorder="1" applyAlignment="1">
      <alignment horizontal="center" vertical="center"/>
    </xf>
    <xf numFmtId="44" fontId="42" fillId="0" borderId="105" xfId="0" applyNumberFormat="1" applyFont="1" applyBorder="1" applyAlignment="1">
      <alignment horizontal="center" vertical="center"/>
    </xf>
    <xf numFmtId="10" fontId="51" fillId="10" borderId="105" xfId="0" applyNumberFormat="1" applyFont="1" applyFill="1" applyBorder="1" applyAlignment="1">
      <alignment horizontal="center" vertical="center"/>
    </xf>
    <xf numFmtId="44" fontId="51" fillId="10" borderId="105" xfId="0" applyNumberFormat="1" applyFont="1" applyFill="1" applyBorder="1" applyAlignment="1">
      <alignment horizontal="center" vertical="center"/>
    </xf>
    <xf numFmtId="44" fontId="71" fillId="24" borderId="42" xfId="0" applyNumberFormat="1" applyFont="1" applyFill="1" applyBorder="1" applyAlignment="1">
      <alignment horizontal="center" vertical="center"/>
    </xf>
    <xf numFmtId="44" fontId="59" fillId="24" borderId="42" xfId="0" applyNumberFormat="1" applyFont="1" applyFill="1" applyBorder="1" applyAlignment="1">
      <alignment horizontal="center" vertical="center" wrapText="1"/>
    </xf>
    <xf numFmtId="171" fontId="42" fillId="0" borderId="192" xfId="0" applyNumberFormat="1" applyFont="1" applyBorder="1" applyAlignment="1">
      <alignment horizontal="center" vertical="center"/>
    </xf>
    <xf numFmtId="44" fontId="42" fillId="0" borderId="193" xfId="0" applyNumberFormat="1" applyFont="1" applyBorder="1" applyAlignment="1">
      <alignment horizontal="center" vertical="center"/>
    </xf>
    <xf numFmtId="44" fontId="69" fillId="24" borderId="195" xfId="0" applyNumberFormat="1" applyFont="1" applyFill="1" applyBorder="1" applyAlignment="1">
      <alignment horizontal="center" vertical="center"/>
    </xf>
    <xf numFmtId="0" fontId="51" fillId="10" borderId="198" xfId="0" applyFont="1" applyFill="1" applyBorder="1" applyAlignment="1">
      <alignment horizontal="center" vertical="center" wrapText="1"/>
    </xf>
    <xf numFmtId="0" fontId="51" fillId="10" borderId="199" xfId="0" applyFont="1" applyFill="1" applyBorder="1" applyAlignment="1">
      <alignment horizontal="center" vertical="center" wrapText="1"/>
    </xf>
    <xf numFmtId="0" fontId="83" fillId="2" borderId="121" xfId="0" applyFont="1" applyFill="1" applyBorder="1" applyAlignment="1">
      <alignment vertical="center"/>
    </xf>
    <xf numFmtId="0" fontId="51" fillId="10" borderId="121" xfId="0" applyFont="1" applyFill="1" applyBorder="1" applyAlignment="1">
      <alignment vertical="center"/>
    </xf>
    <xf numFmtId="0" fontId="62" fillId="10" borderId="8" xfId="0" applyFont="1" applyFill="1" applyBorder="1" applyAlignment="1">
      <alignment horizontal="center" vertical="center"/>
    </xf>
    <xf numFmtId="0" fontId="42" fillId="2" borderId="10" xfId="0" applyFont="1" applyFill="1" applyBorder="1" applyAlignment="1">
      <alignment vertical="center"/>
    </xf>
    <xf numFmtId="0" fontId="42" fillId="2" borderId="7" xfId="0" applyFont="1" applyFill="1" applyBorder="1" applyAlignment="1">
      <alignment vertical="center"/>
    </xf>
    <xf numFmtId="0" fontId="42" fillId="2" borderId="3" xfId="0" applyFont="1" applyFill="1" applyBorder="1" applyAlignment="1">
      <alignment vertical="center"/>
    </xf>
    <xf numFmtId="0" fontId="42" fillId="2" borderId="6" xfId="0" applyFont="1" applyFill="1" applyBorder="1" applyAlignment="1">
      <alignment vertical="center"/>
    </xf>
    <xf numFmtId="44" fontId="65" fillId="0" borderId="105" xfId="0" applyNumberFormat="1" applyFont="1" applyBorder="1" applyAlignment="1">
      <alignment horizontal="center" vertical="center"/>
    </xf>
    <xf numFmtId="44" fontId="65" fillId="2" borderId="116" xfId="0" applyNumberFormat="1" applyFont="1" applyFill="1" applyBorder="1" applyAlignment="1">
      <alignment horizontal="center" vertical="center"/>
    </xf>
    <xf numFmtId="44" fontId="65" fillId="5" borderId="110" xfId="0" applyNumberFormat="1" applyFont="1" applyFill="1" applyBorder="1" applyAlignment="1" applyProtection="1">
      <alignment horizontal="center" vertical="center"/>
      <protection locked="0"/>
    </xf>
    <xf numFmtId="0" fontId="51" fillId="10" borderId="119" xfId="0" applyFont="1" applyFill="1" applyBorder="1" applyAlignment="1">
      <alignment horizontal="center" vertical="center"/>
    </xf>
    <xf numFmtId="44" fontId="65" fillId="5" borderId="120" xfId="0" applyNumberFormat="1" applyFont="1" applyFill="1" applyBorder="1" applyAlignment="1" applyProtection="1">
      <alignment horizontal="center" vertical="center"/>
      <protection locked="0"/>
    </xf>
    <xf numFmtId="9" fontId="50" fillId="0" borderId="105" xfId="4" applyBorder="1" applyAlignment="1">
      <alignment horizontal="center" vertical="center"/>
    </xf>
    <xf numFmtId="10" fontId="58" fillId="0" borderId="84" xfId="0" applyNumberFormat="1" applyFont="1" applyBorder="1" applyAlignment="1">
      <alignment horizontal="center" vertical="center"/>
    </xf>
    <xf numFmtId="0" fontId="51" fillId="0" borderId="83" xfId="0" applyFont="1" applyBorder="1" applyAlignment="1">
      <alignment horizontal="center" vertical="center"/>
    </xf>
    <xf numFmtId="0" fontId="51" fillId="10" borderId="132" xfId="0" applyFont="1" applyFill="1" applyBorder="1" applyAlignment="1">
      <alignment horizontal="center" vertical="center"/>
    </xf>
    <xf numFmtId="0" fontId="42" fillId="2" borderId="105" xfId="0" applyFont="1" applyFill="1" applyBorder="1" applyAlignment="1">
      <alignment horizontal="right" vertical="center"/>
    </xf>
    <xf numFmtId="0" fontId="51" fillId="10" borderId="207" xfId="0" applyFont="1" applyFill="1" applyBorder="1" applyAlignment="1">
      <alignment horizontal="center" vertical="center"/>
    </xf>
    <xf numFmtId="0" fontId="51" fillId="10" borderId="208" xfId="0" applyFont="1" applyFill="1" applyBorder="1" applyAlignment="1">
      <alignment horizontal="center" vertical="center"/>
    </xf>
    <xf numFmtId="10" fontId="58" fillId="24" borderId="86" xfId="0" applyNumberFormat="1" applyFont="1" applyFill="1" applyBorder="1" applyAlignment="1">
      <alignment horizontal="center" vertical="center"/>
    </xf>
    <xf numFmtId="44" fontId="51" fillId="0" borderId="203" xfId="0" applyNumberFormat="1" applyFont="1" applyBorder="1" applyAlignment="1">
      <alignment horizontal="center" vertical="center"/>
    </xf>
    <xf numFmtId="44" fontId="69" fillId="24" borderId="116" xfId="0" applyNumberFormat="1" applyFont="1" applyFill="1" applyBorder="1" applyAlignment="1">
      <alignment horizontal="center" vertical="center"/>
    </xf>
    <xf numFmtId="44" fontId="42" fillId="0" borderId="115" xfId="0" applyNumberFormat="1" applyFont="1" applyBorder="1" applyAlignment="1">
      <alignment horizontal="center" vertical="center"/>
    </xf>
    <xf numFmtId="0" fontId="51" fillId="10" borderId="212" xfId="0" applyFont="1" applyFill="1" applyBorder="1" applyAlignment="1">
      <alignment horizontal="center" vertical="center"/>
    </xf>
    <xf numFmtId="10" fontId="42" fillId="0" borderId="115" xfId="0" applyNumberFormat="1" applyFont="1" applyBorder="1" applyAlignment="1">
      <alignment horizontal="center" vertical="center"/>
    </xf>
    <xf numFmtId="0" fontId="51" fillId="0" borderId="114" xfId="0" applyFont="1" applyBorder="1" applyAlignment="1">
      <alignment horizontal="center" vertical="center"/>
    </xf>
    <xf numFmtId="0" fontId="51" fillId="0" borderId="109" xfId="0" applyFont="1" applyBorder="1" applyAlignment="1">
      <alignment horizontal="center" vertical="center"/>
    </xf>
    <xf numFmtId="0" fontId="51" fillId="0" borderId="119" xfId="0" applyFont="1" applyBorder="1" applyAlignment="1">
      <alignment horizontal="center" vertical="center"/>
    </xf>
    <xf numFmtId="0" fontId="42" fillId="0" borderId="115" xfId="0" applyFont="1" applyBorder="1" applyAlignment="1">
      <alignment vertical="center"/>
    </xf>
    <xf numFmtId="0" fontId="42" fillId="0" borderId="115" xfId="0" applyFont="1" applyBorder="1" applyAlignment="1">
      <alignment horizontal="center" vertical="center"/>
    </xf>
    <xf numFmtId="10" fontId="42" fillId="0" borderId="115" xfId="4" applyNumberFormat="1" applyFont="1" applyBorder="1" applyAlignment="1">
      <alignment horizontal="center" vertical="center"/>
    </xf>
    <xf numFmtId="173" fontId="42" fillId="0" borderId="209" xfId="0" applyNumberFormat="1" applyFont="1" applyBorder="1" applyAlignment="1">
      <alignment horizontal="center" vertical="center"/>
    </xf>
    <xf numFmtId="44" fontId="42" fillId="0" borderId="213" xfId="0" applyNumberFormat="1" applyFont="1" applyBorder="1" applyAlignment="1">
      <alignment horizontal="center" vertical="center"/>
    </xf>
    <xf numFmtId="9" fontId="51" fillId="5" borderId="148" xfId="0" applyNumberFormat="1" applyFont="1" applyFill="1" applyBorder="1" applyAlignment="1" applyProtection="1">
      <alignment horizontal="center" vertical="center"/>
      <protection locked="0"/>
    </xf>
    <xf numFmtId="10" fontId="42" fillId="0" borderId="148" xfId="4" applyNumberFormat="1" applyFont="1" applyBorder="1" applyAlignment="1">
      <alignment horizontal="center" vertical="center"/>
    </xf>
    <xf numFmtId="10" fontId="51" fillId="5" borderId="148" xfId="0" applyNumberFormat="1" applyFont="1" applyFill="1" applyBorder="1" applyAlignment="1" applyProtection="1">
      <alignment horizontal="center" vertical="center"/>
      <protection locked="0"/>
    </xf>
    <xf numFmtId="10" fontId="42" fillId="0" borderId="84" xfId="4" applyNumberFormat="1" applyFont="1" applyBorder="1" applyAlignment="1">
      <alignment horizontal="center" vertical="center"/>
    </xf>
    <xf numFmtId="44" fontId="42" fillId="0" borderId="203" xfId="0" applyNumberFormat="1" applyFont="1" applyBorder="1" applyAlignment="1">
      <alignment horizontal="center" vertical="center"/>
    </xf>
    <xf numFmtId="10" fontId="69" fillId="25" borderId="86" xfId="0" applyNumberFormat="1" applyFont="1" applyFill="1" applyBorder="1" applyAlignment="1">
      <alignment horizontal="center" vertical="center"/>
    </xf>
    <xf numFmtId="44" fontId="69" fillId="25" borderId="155" xfId="0" applyNumberFormat="1" applyFont="1" applyFill="1" applyBorder="1" applyAlignment="1">
      <alignment horizontal="center" vertical="center"/>
    </xf>
    <xf numFmtId="0" fontId="51" fillId="0" borderId="209" xfId="0" applyFont="1" applyBorder="1" applyAlignment="1">
      <alignment vertical="center"/>
    </xf>
    <xf numFmtId="44" fontId="51" fillId="0" borderId="213" xfId="0" applyNumberFormat="1" applyFont="1" applyBorder="1" applyAlignment="1">
      <alignment horizontal="center" vertical="center"/>
    </xf>
    <xf numFmtId="0" fontId="51" fillId="0" borderId="148" xfId="0" applyFont="1" applyBorder="1" applyAlignment="1">
      <alignment vertical="center"/>
    </xf>
    <xf numFmtId="10" fontId="42" fillId="0" borderId="148" xfId="0" applyNumberFormat="1" applyFont="1" applyBorder="1" applyAlignment="1">
      <alignment horizontal="center" vertical="center"/>
    </xf>
    <xf numFmtId="165" fontId="63" fillId="0" borderId="149" xfId="0" applyNumberFormat="1" applyFont="1" applyBorder="1" applyAlignment="1">
      <alignment horizontal="center" vertical="center"/>
    </xf>
    <xf numFmtId="10" fontId="42" fillId="0" borderId="209" xfId="0" applyNumberFormat="1" applyFont="1" applyBorder="1" applyAlignment="1">
      <alignment horizontal="center" vertical="center"/>
    </xf>
    <xf numFmtId="165" fontId="63" fillId="0" borderId="213" xfId="0" applyNumberFormat="1" applyFont="1" applyBorder="1" applyAlignment="1">
      <alignment horizontal="center" vertical="center"/>
    </xf>
    <xf numFmtId="0" fontId="54" fillId="26" borderId="0" xfId="0" applyFont="1" applyFill="1" applyAlignment="1">
      <alignment vertical="center"/>
    </xf>
    <xf numFmtId="0" fontId="54" fillId="15" borderId="0" xfId="0" applyFont="1" applyFill="1" applyAlignment="1">
      <alignment vertical="center"/>
    </xf>
    <xf numFmtId="44" fontId="42" fillId="5" borderId="105" xfId="0" applyNumberFormat="1" applyFont="1" applyFill="1" applyBorder="1" applyAlignment="1" applyProtection="1">
      <alignment horizontal="center" vertical="center"/>
      <protection locked="0"/>
    </xf>
    <xf numFmtId="0" fontId="51" fillId="10" borderId="214" xfId="0" applyFont="1" applyFill="1" applyBorder="1" applyAlignment="1">
      <alignment horizontal="center" vertical="center"/>
    </xf>
    <xf numFmtId="0" fontId="54" fillId="26" borderId="7" xfId="0" applyFont="1" applyFill="1" applyBorder="1" applyAlignment="1">
      <alignment vertical="center"/>
    </xf>
    <xf numFmtId="0" fontId="54" fillId="26" borderId="136" xfId="0" applyFont="1" applyFill="1" applyBorder="1" applyAlignment="1">
      <alignment vertical="center"/>
    </xf>
    <xf numFmtId="165" fontId="57" fillId="26" borderId="3" xfId="0" applyNumberFormat="1" applyFont="1" applyFill="1" applyBorder="1" applyAlignment="1">
      <alignment horizontal="center" vertical="center"/>
    </xf>
    <xf numFmtId="171" fontId="42" fillId="0" borderId="217" xfId="0" applyNumberFormat="1" applyFont="1" applyBorder="1" applyAlignment="1">
      <alignment horizontal="center" vertical="center"/>
    </xf>
    <xf numFmtId="44" fontId="42" fillId="0" borderId="218" xfId="0" applyNumberFormat="1" applyFont="1" applyBorder="1" applyAlignment="1">
      <alignment horizontal="center" vertical="center"/>
    </xf>
    <xf numFmtId="0" fontId="42" fillId="0" borderId="0" xfId="0" applyFont="1" applyAlignment="1">
      <alignment vertical="center"/>
    </xf>
    <xf numFmtId="0" fontId="42" fillId="5" borderId="0" xfId="0" applyFont="1" applyFill="1" applyAlignment="1" applyProtection="1">
      <alignment vertical="center"/>
      <protection locked="0"/>
    </xf>
    <xf numFmtId="0" fontId="1" fillId="0" borderId="109" xfId="0" applyFont="1" applyBorder="1" applyAlignment="1">
      <alignment horizontal="center" vertical="center"/>
    </xf>
    <xf numFmtId="0" fontId="9" fillId="0" borderId="105" xfId="0" applyFont="1" applyBorder="1" applyAlignment="1">
      <alignment horizontal="center" vertical="center" wrapText="1"/>
    </xf>
    <xf numFmtId="0" fontId="1" fillId="0" borderId="105" xfId="0" applyFont="1" applyBorder="1" applyAlignment="1">
      <alignment horizontal="center" vertical="center"/>
    </xf>
    <xf numFmtId="165" fontId="1" fillId="0" borderId="105" xfId="0" applyNumberFormat="1" applyFont="1" applyBorder="1" applyAlignment="1">
      <alignment horizontal="center" vertical="center"/>
    </xf>
    <xf numFmtId="0" fontId="1" fillId="0" borderId="119" xfId="0" applyFont="1" applyBorder="1" applyAlignment="1">
      <alignment horizontal="center" vertical="center"/>
    </xf>
    <xf numFmtId="0" fontId="9" fillId="0" borderId="121" xfId="0" applyFont="1" applyBorder="1" applyAlignment="1">
      <alignment horizontal="center" vertical="center" wrapText="1"/>
    </xf>
    <xf numFmtId="0" fontId="1" fillId="0" borderId="121" xfId="0" applyFont="1" applyBorder="1" applyAlignment="1">
      <alignment horizontal="center" vertical="center"/>
    </xf>
    <xf numFmtId="165" fontId="1" fillId="0" borderId="121" xfId="0" applyNumberFormat="1" applyFont="1" applyBorder="1" applyAlignment="1">
      <alignment horizontal="center" vertical="center"/>
    </xf>
    <xf numFmtId="0" fontId="43" fillId="0" borderId="115" xfId="0" applyFont="1" applyBorder="1" applyAlignment="1">
      <alignment horizontal="center" vertical="center" wrapText="1"/>
    </xf>
    <xf numFmtId="165" fontId="43" fillId="18" borderId="116" xfId="0" applyNumberFormat="1" applyFont="1" applyFill="1" applyBorder="1" applyAlignment="1">
      <alignment horizontal="center" vertical="center" wrapText="1"/>
    </xf>
    <xf numFmtId="169" fontId="1" fillId="0" borderId="105" xfId="0" applyNumberFormat="1" applyFont="1" applyBorder="1" applyAlignment="1">
      <alignment horizontal="center" vertical="center"/>
    </xf>
    <xf numFmtId="0" fontId="1" fillId="0" borderId="112" xfId="0" applyFont="1" applyBorder="1" applyAlignment="1">
      <alignment horizontal="center" vertical="center"/>
    </xf>
    <xf numFmtId="169" fontId="1" fillId="0" borderId="112" xfId="0" applyNumberFormat="1" applyFont="1" applyBorder="1" applyAlignment="1">
      <alignment horizontal="center" vertical="center"/>
    </xf>
    <xf numFmtId="0" fontId="1" fillId="0" borderId="105" xfId="0" applyFont="1" applyBorder="1" applyAlignment="1">
      <alignment horizontal="center" vertical="center" wrapText="1"/>
    </xf>
    <xf numFmtId="165" fontId="1" fillId="0" borderId="105" xfId="0" applyNumberFormat="1" applyFont="1" applyBorder="1" applyAlignment="1">
      <alignment horizontal="center" vertical="center" wrapText="1"/>
    </xf>
    <xf numFmtId="0" fontId="1" fillId="0" borderId="121" xfId="0" applyFont="1" applyBorder="1" applyAlignment="1">
      <alignment horizontal="center" vertical="center" wrapText="1"/>
    </xf>
    <xf numFmtId="165" fontId="1" fillId="0" borderId="121" xfId="0" applyNumberFormat="1" applyFont="1" applyBorder="1" applyAlignment="1">
      <alignment horizontal="center" vertical="center" wrapText="1"/>
    </xf>
    <xf numFmtId="44" fontId="1" fillId="0" borderId="110" xfId="0" applyNumberFormat="1" applyFont="1" applyBorder="1" applyAlignment="1">
      <alignment horizontal="center" vertical="center"/>
    </xf>
    <xf numFmtId="44" fontId="1" fillId="0" borderId="120" xfId="0" applyNumberFormat="1" applyFont="1" applyBorder="1" applyAlignment="1">
      <alignment horizontal="center" vertical="center"/>
    </xf>
    <xf numFmtId="44" fontId="43" fillId="18" borderId="63" xfId="0" applyNumberFormat="1" applyFont="1" applyFill="1" applyBorder="1" applyAlignment="1">
      <alignment horizontal="center" vertical="center"/>
    </xf>
    <xf numFmtId="44" fontId="43" fillId="18" borderId="110" xfId="0" applyNumberFormat="1" applyFont="1" applyFill="1" applyBorder="1" applyAlignment="1">
      <alignment horizontal="center" vertical="center"/>
    </xf>
    <xf numFmtId="44" fontId="43" fillId="18" borderId="113" xfId="0" applyNumberFormat="1" applyFont="1" applyFill="1" applyBorder="1" applyAlignment="1">
      <alignment horizontal="center" vertical="center"/>
    </xf>
    <xf numFmtId="44" fontId="43" fillId="18" borderId="116" xfId="0" applyNumberFormat="1" applyFont="1" applyFill="1" applyBorder="1" applyAlignment="1">
      <alignment horizontal="center" vertical="center"/>
    </xf>
    <xf numFmtId="44" fontId="1" fillId="0" borderId="110" xfId="0" applyNumberFormat="1" applyFont="1" applyBorder="1" applyAlignment="1">
      <alignment horizontal="center" vertical="center" wrapText="1"/>
    </xf>
    <xf numFmtId="44" fontId="1" fillId="0" borderId="120" xfId="0" applyNumberFormat="1" applyFont="1" applyBorder="1" applyAlignment="1">
      <alignment horizontal="center" vertical="center" wrapText="1"/>
    </xf>
    <xf numFmtId="171" fontId="1" fillId="0" borderId="105" xfId="0" applyNumberFormat="1" applyFont="1" applyBorder="1" applyAlignment="1">
      <alignment horizontal="center" vertical="center"/>
    </xf>
    <xf numFmtId="165" fontId="1" fillId="15" borderId="105" xfId="0" applyNumberFormat="1" applyFont="1" applyFill="1" applyBorder="1" applyAlignment="1">
      <alignment horizontal="center" vertical="center"/>
    </xf>
    <xf numFmtId="0" fontId="45" fillId="0" borderId="105" xfId="0" applyFont="1" applyBorder="1" applyAlignment="1">
      <alignment horizontal="center" vertical="center" wrapText="1"/>
    </xf>
    <xf numFmtId="44" fontId="8" fillId="0" borderId="110" xfId="2" applyNumberFormat="1" applyFont="1" applyBorder="1" applyAlignment="1">
      <alignment horizontal="center" vertical="center"/>
    </xf>
    <xf numFmtId="44" fontId="43" fillId="0" borderId="110" xfId="0" applyNumberFormat="1" applyFont="1" applyBorder="1" applyAlignment="1">
      <alignment horizontal="center" vertical="center"/>
    </xf>
    <xf numFmtId="0" fontId="43" fillId="0" borderId="115" xfId="0" applyFont="1" applyBorder="1" applyAlignment="1">
      <alignment horizontal="center" vertical="center"/>
    </xf>
    <xf numFmtId="166" fontId="50" fillId="26" borderId="121" xfId="2" applyFill="1" applyBorder="1" applyAlignment="1">
      <alignment horizontal="center" vertical="center"/>
    </xf>
    <xf numFmtId="0" fontId="45" fillId="0" borderId="121" xfId="0" applyFont="1" applyBorder="1" applyAlignment="1">
      <alignment horizontal="center" vertical="center" wrapText="1"/>
    </xf>
    <xf numFmtId="44" fontId="43" fillId="0" borderId="120" xfId="0" applyNumberFormat="1" applyFont="1" applyBorder="1" applyAlignment="1">
      <alignment horizontal="center" vertical="center"/>
    </xf>
    <xf numFmtId="10" fontId="1" fillId="5" borderId="62" xfId="0" applyNumberFormat="1" applyFont="1" applyFill="1" applyBorder="1" applyAlignment="1" applyProtection="1">
      <alignment horizontal="center" vertical="center" wrapText="1"/>
      <protection locked="0"/>
    </xf>
    <xf numFmtId="44" fontId="8" fillId="18" borderId="63" xfId="0" applyNumberFormat="1" applyFont="1" applyFill="1" applyBorder="1" applyAlignment="1">
      <alignment horizontal="center" vertical="center" wrapText="1"/>
    </xf>
    <xf numFmtId="44" fontId="43" fillId="0" borderId="113" xfId="0" applyNumberFormat="1" applyFont="1" applyBorder="1" applyAlignment="1">
      <alignment horizontal="center" vertical="center"/>
    </xf>
    <xf numFmtId="0" fontId="1" fillId="16" borderId="109" xfId="0" applyFont="1" applyFill="1" applyBorder="1" applyAlignment="1">
      <alignment horizontal="center" vertical="center"/>
    </xf>
    <xf numFmtId="0" fontId="1" fillId="16" borderId="111" xfId="0" applyFont="1" applyFill="1" applyBorder="1" applyAlignment="1">
      <alignment horizontal="center" vertical="center"/>
    </xf>
    <xf numFmtId="44" fontId="49" fillId="18" borderId="113" xfId="0" applyNumberFormat="1" applyFont="1" applyFill="1" applyBorder="1" applyAlignment="1">
      <alignment horizontal="center" vertical="center"/>
    </xf>
    <xf numFmtId="0" fontId="51" fillId="3" borderId="1" xfId="0" applyFont="1" applyFill="1" applyBorder="1" applyAlignment="1">
      <alignment horizontal="left" vertical="center"/>
    </xf>
    <xf numFmtId="0" fontId="51" fillId="0" borderId="1" xfId="0" applyFont="1" applyBorder="1" applyAlignment="1">
      <alignment horizontal="left" vertical="center"/>
    </xf>
    <xf numFmtId="0" fontId="51" fillId="3" borderId="1" xfId="0" applyFont="1" applyFill="1" applyBorder="1" applyAlignment="1">
      <alignment vertical="center"/>
    </xf>
    <xf numFmtId="0" fontId="51" fillId="0" borderId="1" xfId="0" applyFont="1" applyBorder="1" applyAlignment="1">
      <alignment vertical="center"/>
    </xf>
    <xf numFmtId="164" fontId="51" fillId="0" borderId="25" xfId="0" applyNumberFormat="1" applyFont="1" applyBorder="1" applyAlignment="1">
      <alignment horizontal="center" vertical="center"/>
    </xf>
    <xf numFmtId="178" fontId="51" fillId="0" borderId="1" xfId="0" applyNumberFormat="1" applyFont="1" applyBorder="1" applyAlignment="1">
      <alignment horizontal="center" vertical="center"/>
    </xf>
    <xf numFmtId="0" fontId="51" fillId="3" borderId="4" xfId="0" applyFont="1" applyFill="1" applyBorder="1" applyAlignment="1">
      <alignment vertical="center"/>
    </xf>
    <xf numFmtId="164" fontId="51" fillId="5" borderId="36" xfId="0" applyNumberFormat="1" applyFont="1" applyFill="1" applyBorder="1" applyAlignment="1" applyProtection="1">
      <alignment horizontal="center"/>
      <protection locked="0"/>
    </xf>
    <xf numFmtId="0" fontId="51" fillId="0" borderId="36" xfId="0" applyFont="1" applyBorder="1" applyAlignment="1">
      <alignment horizontal="center"/>
    </xf>
    <xf numFmtId="165" fontId="51" fillId="5" borderId="36" xfId="0" applyNumberFormat="1" applyFont="1" applyFill="1" applyBorder="1" applyAlignment="1" applyProtection="1">
      <alignment horizontal="center"/>
      <protection locked="0"/>
    </xf>
    <xf numFmtId="0" fontId="51" fillId="3" borderId="1" xfId="0" applyFont="1" applyFill="1" applyBorder="1" applyAlignment="1">
      <alignment horizontal="center" vertical="center"/>
    </xf>
    <xf numFmtId="0" fontId="51" fillId="3" borderId="4" xfId="0" applyFont="1" applyFill="1" applyBorder="1" applyAlignment="1">
      <alignment horizontal="center" vertical="center"/>
    </xf>
    <xf numFmtId="0" fontId="51" fillId="5" borderId="36" xfId="0" applyFont="1" applyFill="1" applyBorder="1" applyAlignment="1" applyProtection="1">
      <alignment horizontal="center" vertical="center"/>
      <protection locked="0"/>
    </xf>
    <xf numFmtId="0" fontId="8" fillId="19" borderId="44" xfId="0" applyFont="1" applyFill="1" applyBorder="1" applyAlignment="1">
      <alignment horizontal="center" vertical="center"/>
    </xf>
    <xf numFmtId="0" fontId="8" fillId="19" borderId="45" xfId="0" applyFont="1" applyFill="1" applyBorder="1" applyAlignment="1">
      <alignment horizontal="center" vertical="center"/>
    </xf>
    <xf numFmtId="0" fontId="8" fillId="19" borderId="49" xfId="0" applyFont="1" applyFill="1" applyBorder="1" applyAlignment="1">
      <alignment horizontal="center" vertical="center"/>
    </xf>
    <xf numFmtId="0" fontId="8" fillId="19" borderId="50" xfId="0" applyFont="1" applyFill="1" applyBorder="1" applyAlignment="1">
      <alignment horizontal="center" vertical="center"/>
    </xf>
    <xf numFmtId="0" fontId="8" fillId="19" borderId="45" xfId="0" applyFont="1" applyFill="1" applyBorder="1" applyAlignment="1">
      <alignment horizontal="center" vertical="center" wrapText="1"/>
    </xf>
    <xf numFmtId="0" fontId="8" fillId="19" borderId="46" xfId="0" applyFont="1" applyFill="1" applyBorder="1" applyAlignment="1">
      <alignment horizontal="center" vertical="center"/>
    </xf>
    <xf numFmtId="0" fontId="13" fillId="4" borderId="49" xfId="0" applyFont="1" applyFill="1" applyBorder="1" applyAlignment="1" applyProtection="1">
      <alignment horizontal="left" vertical="center" wrapText="1"/>
      <protection hidden="1"/>
    </xf>
    <xf numFmtId="0" fontId="13" fillId="4" borderId="50" xfId="0" applyFont="1" applyFill="1" applyBorder="1" applyAlignment="1" applyProtection="1">
      <alignment horizontal="left" vertical="center" wrapText="1"/>
      <protection hidden="1"/>
    </xf>
    <xf numFmtId="0" fontId="13" fillId="4" borderId="65" xfId="0" applyFont="1" applyFill="1" applyBorder="1" applyAlignment="1" applyProtection="1">
      <alignment horizontal="left" vertical="center" wrapText="1"/>
      <protection hidden="1"/>
    </xf>
    <xf numFmtId="0" fontId="13" fillId="4" borderId="66" xfId="0" applyFont="1" applyFill="1" applyBorder="1" applyAlignment="1" applyProtection="1">
      <alignment horizontal="left" vertical="center" wrapText="1"/>
      <protection hidden="1"/>
    </xf>
    <xf numFmtId="0" fontId="13" fillId="4" borderId="67" xfId="0" applyFont="1" applyFill="1" applyBorder="1" applyAlignment="1" applyProtection="1">
      <alignment horizontal="left" vertical="center" wrapText="1"/>
      <protection hidden="1"/>
    </xf>
    <xf numFmtId="0" fontId="13" fillId="6" borderId="64" xfId="0" applyFont="1" applyFill="1" applyBorder="1" applyAlignment="1" applyProtection="1">
      <alignment horizontal="left" vertical="center" wrapText="1"/>
      <protection hidden="1"/>
    </xf>
    <xf numFmtId="0" fontId="13" fillId="6" borderId="40" xfId="0" applyFont="1" applyFill="1" applyBorder="1" applyAlignment="1" applyProtection="1">
      <alignment horizontal="left" vertical="center" wrapText="1"/>
      <protection hidden="1"/>
    </xf>
    <xf numFmtId="0" fontId="13" fillId="6" borderId="41" xfId="0" applyFont="1" applyFill="1" applyBorder="1" applyAlignment="1" applyProtection="1">
      <alignment horizontal="left" vertical="center" wrapText="1"/>
      <protection hidden="1"/>
    </xf>
    <xf numFmtId="0" fontId="13" fillId="6" borderId="64" xfId="0" applyFont="1" applyFill="1" applyBorder="1" applyAlignment="1" applyProtection="1">
      <alignment horizontal="left" vertical="center"/>
      <protection hidden="1"/>
    </xf>
    <xf numFmtId="0" fontId="13" fillId="6" borderId="40" xfId="0" applyFont="1" applyFill="1" applyBorder="1" applyAlignment="1" applyProtection="1">
      <alignment horizontal="left" vertical="center"/>
      <protection hidden="1"/>
    </xf>
    <xf numFmtId="0" fontId="13" fillId="6" borderId="41" xfId="0" applyFont="1" applyFill="1" applyBorder="1" applyAlignment="1" applyProtection="1">
      <alignment horizontal="left" vertical="center"/>
      <protection hidden="1"/>
    </xf>
    <xf numFmtId="0" fontId="13" fillId="4" borderId="64" xfId="0" applyFont="1" applyFill="1" applyBorder="1" applyAlignment="1" applyProtection="1">
      <alignment horizontal="left" vertical="center" wrapText="1"/>
      <protection hidden="1"/>
    </xf>
    <xf numFmtId="0" fontId="13" fillId="4" borderId="40" xfId="0" applyFont="1" applyFill="1" applyBorder="1" applyAlignment="1" applyProtection="1">
      <alignment horizontal="left" vertical="center" wrapText="1"/>
      <protection hidden="1"/>
    </xf>
    <xf numFmtId="0" fontId="13" fillId="4" borderId="41" xfId="0" applyFont="1" applyFill="1" applyBorder="1" applyAlignment="1" applyProtection="1">
      <alignment horizontal="left" vertical="center" wrapText="1"/>
      <protection hidden="1"/>
    </xf>
    <xf numFmtId="0" fontId="13" fillId="7" borderId="64" xfId="0" applyFont="1" applyFill="1" applyBorder="1" applyAlignment="1" applyProtection="1">
      <alignment horizontal="left" vertical="center" wrapText="1"/>
      <protection hidden="1"/>
    </xf>
    <xf numFmtId="0" fontId="13" fillId="7" borderId="40" xfId="0" applyFont="1" applyFill="1" applyBorder="1" applyAlignment="1" applyProtection="1">
      <alignment horizontal="left" vertical="center" wrapText="1"/>
      <protection hidden="1"/>
    </xf>
    <xf numFmtId="0" fontId="13" fillId="7" borderId="41" xfId="0" applyFont="1" applyFill="1" applyBorder="1" applyAlignment="1" applyProtection="1">
      <alignment horizontal="left" vertical="center" wrapText="1"/>
      <protection hidden="1"/>
    </xf>
    <xf numFmtId="0" fontId="8" fillId="19" borderId="61" xfId="0" applyFont="1" applyFill="1" applyBorder="1" applyAlignment="1">
      <alignment horizontal="center" vertical="center"/>
    </xf>
    <xf numFmtId="0" fontId="8" fillId="19" borderId="62" xfId="0" applyFont="1" applyFill="1" applyBorder="1" applyAlignment="1">
      <alignment horizontal="center" vertical="center"/>
    </xf>
    <xf numFmtId="0" fontId="8" fillId="0" borderId="44" xfId="0" applyFont="1" applyBorder="1" applyAlignment="1" applyProtection="1">
      <alignment horizontal="left" vertical="center" wrapText="1"/>
      <protection hidden="1"/>
    </xf>
    <xf numFmtId="0" fontId="7" fillId="0" borderId="45" xfId="0" applyFont="1" applyBorder="1" applyAlignment="1" applyProtection="1">
      <alignment horizontal="left" vertical="center" wrapText="1"/>
      <protection hidden="1"/>
    </xf>
    <xf numFmtId="0" fontId="5" fillId="8" borderId="47" xfId="0" applyFont="1" applyFill="1" applyBorder="1" applyAlignment="1" applyProtection="1">
      <alignment horizontal="left" vertical="center" wrapText="1"/>
      <protection hidden="1"/>
    </xf>
    <xf numFmtId="0" fontId="5" fillId="8" borderId="39" xfId="0" applyFont="1" applyFill="1" applyBorder="1" applyAlignment="1" applyProtection="1">
      <alignment horizontal="left" vertical="center" wrapText="1"/>
      <protection hidden="1"/>
    </xf>
    <xf numFmtId="0" fontId="11" fillId="6" borderId="47" xfId="0" applyFont="1" applyFill="1" applyBorder="1" applyAlignment="1" applyProtection="1">
      <alignment horizontal="left" vertical="center" wrapText="1"/>
      <protection hidden="1"/>
    </xf>
    <xf numFmtId="0" fontId="11" fillId="6" borderId="39" xfId="0" applyFont="1" applyFill="1" applyBorder="1" applyAlignment="1" applyProtection="1">
      <alignment horizontal="left" vertical="center" wrapText="1"/>
      <protection hidden="1"/>
    </xf>
    <xf numFmtId="0" fontId="5" fillId="7" borderId="52" xfId="0" applyFont="1" applyFill="1" applyBorder="1" applyAlignment="1" applyProtection="1">
      <alignment horizontal="left" vertical="center" wrapText="1"/>
      <protection hidden="1"/>
    </xf>
    <xf numFmtId="0" fontId="5" fillId="7" borderId="43" xfId="0" applyFont="1" applyFill="1" applyBorder="1" applyAlignment="1" applyProtection="1">
      <alignment horizontal="left" vertical="center" wrapText="1"/>
      <protection hidden="1"/>
    </xf>
    <xf numFmtId="165" fontId="75" fillId="2" borderId="45" xfId="0" applyNumberFormat="1" applyFont="1" applyFill="1" applyBorder="1" applyAlignment="1" applyProtection="1">
      <alignment horizontal="center" vertical="center"/>
      <protection hidden="1"/>
    </xf>
    <xf numFmtId="165" fontId="75" fillId="2" borderId="39" xfId="0" applyNumberFormat="1" applyFont="1" applyFill="1" applyBorder="1" applyAlignment="1" applyProtection="1">
      <alignment horizontal="center" vertical="center"/>
      <protection hidden="1"/>
    </xf>
    <xf numFmtId="165" fontId="75" fillId="2" borderId="43" xfId="0" applyNumberFormat="1" applyFont="1" applyFill="1" applyBorder="1" applyAlignment="1" applyProtection="1">
      <alignment horizontal="center" vertical="center"/>
      <protection hidden="1"/>
    </xf>
    <xf numFmtId="0" fontId="8" fillId="2" borderId="44" xfId="0" applyFont="1" applyFill="1" applyBorder="1" applyAlignment="1" applyProtection="1">
      <alignment horizontal="left" vertical="center"/>
      <protection hidden="1"/>
    </xf>
    <xf numFmtId="0" fontId="7" fillId="2" borderId="45" xfId="0" applyFont="1" applyFill="1" applyBorder="1" applyAlignment="1" applyProtection="1">
      <alignment horizontal="left" vertical="center"/>
      <protection hidden="1"/>
    </xf>
    <xf numFmtId="165" fontId="75" fillId="2" borderId="46" xfId="0" applyNumberFormat="1" applyFont="1" applyFill="1" applyBorder="1" applyAlignment="1" applyProtection="1">
      <alignment horizontal="center" vertical="center"/>
      <protection hidden="1"/>
    </xf>
    <xf numFmtId="165" fontId="75" fillId="2" borderId="48" xfId="0" applyNumberFormat="1" applyFont="1" applyFill="1" applyBorder="1" applyAlignment="1" applyProtection="1">
      <alignment horizontal="center" vertical="center"/>
      <protection hidden="1"/>
    </xf>
    <xf numFmtId="165" fontId="75" fillId="2" borderId="53" xfId="0" applyNumberFormat="1" applyFont="1" applyFill="1" applyBorder="1" applyAlignment="1" applyProtection="1">
      <alignment horizontal="center" vertical="center"/>
      <protection hidden="1"/>
    </xf>
    <xf numFmtId="0" fontId="8" fillId="2" borderId="54" xfId="0" applyFont="1" applyFill="1" applyBorder="1" applyAlignment="1" applyProtection="1">
      <alignment horizontal="left" vertical="center"/>
      <protection hidden="1"/>
    </xf>
    <xf numFmtId="0" fontId="8" fillId="2" borderId="55" xfId="0" applyFont="1" applyFill="1" applyBorder="1" applyAlignment="1" applyProtection="1">
      <alignment horizontal="left" vertical="center"/>
      <protection hidden="1"/>
    </xf>
    <xf numFmtId="0" fontId="8" fillId="2" borderId="56" xfId="0" applyFont="1" applyFill="1" applyBorder="1" applyAlignment="1" applyProtection="1">
      <alignment horizontal="left" vertical="center"/>
      <protection hidden="1"/>
    </xf>
    <xf numFmtId="0" fontId="5" fillId="7" borderId="57" xfId="0" applyFont="1" applyFill="1" applyBorder="1" applyAlignment="1" applyProtection="1">
      <alignment horizontal="left" vertical="center" wrapText="1"/>
      <protection hidden="1"/>
    </xf>
    <xf numFmtId="0" fontId="5" fillId="7" borderId="58" xfId="0" applyFont="1" applyFill="1" applyBorder="1" applyAlignment="1" applyProtection="1">
      <alignment horizontal="left" vertical="center" wrapText="1"/>
      <protection hidden="1"/>
    </xf>
    <xf numFmtId="0" fontId="5" fillId="7" borderId="59" xfId="0" applyFont="1" applyFill="1" applyBorder="1" applyAlignment="1" applyProtection="1">
      <alignment horizontal="left" vertical="center" wrapText="1"/>
      <protection hidden="1"/>
    </xf>
    <xf numFmtId="165" fontId="75" fillId="2" borderId="107" xfId="0" applyNumberFormat="1" applyFont="1" applyFill="1" applyBorder="1" applyAlignment="1" applyProtection="1">
      <alignment horizontal="center" vertical="center"/>
      <protection hidden="1"/>
    </xf>
    <xf numFmtId="165" fontId="75" fillId="2" borderId="105" xfId="0" applyNumberFormat="1" applyFont="1" applyFill="1" applyBorder="1" applyAlignment="1" applyProtection="1">
      <alignment horizontal="center" vertical="center"/>
      <protection hidden="1"/>
    </xf>
    <xf numFmtId="165" fontId="75" fillId="2" borderId="112" xfId="0" applyNumberFormat="1" applyFont="1" applyFill="1" applyBorder="1" applyAlignment="1" applyProtection="1">
      <alignment horizontal="center" vertical="center"/>
      <protection hidden="1"/>
    </xf>
    <xf numFmtId="165" fontId="75" fillId="2" borderId="108" xfId="0" applyNumberFormat="1" applyFont="1" applyFill="1" applyBorder="1" applyAlignment="1" applyProtection="1">
      <alignment horizontal="center" vertical="center"/>
      <protection hidden="1"/>
    </xf>
    <xf numFmtId="165" fontId="75" fillId="2" borderId="110" xfId="0" applyNumberFormat="1" applyFont="1" applyFill="1" applyBorder="1" applyAlignment="1" applyProtection="1">
      <alignment horizontal="center" vertical="center"/>
      <protection hidden="1"/>
    </xf>
    <xf numFmtId="165" fontId="75" fillId="2" borderId="113" xfId="0" applyNumberFormat="1" applyFont="1" applyFill="1" applyBorder="1" applyAlignment="1" applyProtection="1">
      <alignment horizontal="center" vertical="center"/>
      <protection hidden="1"/>
    </xf>
    <xf numFmtId="0" fontId="11" fillId="6" borderId="109" xfId="0" applyFont="1" applyFill="1" applyBorder="1" applyAlignment="1" applyProtection="1">
      <alignment horizontal="left" vertical="center" wrapText="1"/>
      <protection hidden="1"/>
    </xf>
    <xf numFmtId="0" fontId="11" fillId="6" borderId="105" xfId="0" applyFont="1" applyFill="1" applyBorder="1" applyAlignment="1" applyProtection="1">
      <alignment horizontal="left" vertical="center" wrapText="1"/>
      <protection hidden="1"/>
    </xf>
    <xf numFmtId="0" fontId="5" fillId="7" borderId="111" xfId="0" applyFont="1" applyFill="1" applyBorder="1" applyAlignment="1" applyProtection="1">
      <alignment horizontal="left" vertical="center" wrapText="1"/>
      <protection hidden="1"/>
    </xf>
    <xf numFmtId="0" fontId="5" fillId="7" borderId="112" xfId="0" applyFont="1" applyFill="1" applyBorder="1" applyAlignment="1" applyProtection="1">
      <alignment horizontal="left" vertical="center" wrapText="1"/>
      <protection hidden="1"/>
    </xf>
    <xf numFmtId="0" fontId="8" fillId="2" borderId="106" xfId="0" applyFont="1" applyFill="1" applyBorder="1" applyAlignment="1" applyProtection="1">
      <alignment horizontal="left" vertical="center"/>
      <protection hidden="1"/>
    </xf>
    <xf numFmtId="0" fontId="8" fillId="2" borderId="107" xfId="0" applyFont="1" applyFill="1" applyBorder="1" applyAlignment="1" applyProtection="1">
      <alignment horizontal="left" vertical="center"/>
      <protection hidden="1"/>
    </xf>
    <xf numFmtId="0" fontId="8" fillId="2" borderId="45" xfId="0" applyFont="1" applyFill="1" applyBorder="1" applyAlignment="1" applyProtection="1">
      <alignment horizontal="left" vertical="center"/>
      <protection hidden="1"/>
    </xf>
    <xf numFmtId="0" fontId="1" fillId="2" borderId="45" xfId="0" applyFont="1" applyFill="1" applyBorder="1" applyAlignment="1" applyProtection="1">
      <alignment horizontal="left" vertical="center"/>
      <protection hidden="1"/>
    </xf>
    <xf numFmtId="0" fontId="1" fillId="5" borderId="45" xfId="0" applyFont="1" applyFill="1" applyBorder="1" applyAlignment="1" applyProtection="1">
      <alignment vertical="center"/>
      <protection locked="0" hidden="1"/>
    </xf>
    <xf numFmtId="165" fontId="75" fillId="2" borderId="50" xfId="0" applyNumberFormat="1" applyFont="1" applyFill="1" applyBorder="1" applyAlignment="1" applyProtection="1">
      <alignment horizontal="center" vertical="center"/>
      <protection hidden="1"/>
    </xf>
    <xf numFmtId="165" fontId="75" fillId="2" borderId="51" xfId="0" applyNumberFormat="1" applyFont="1" applyFill="1" applyBorder="1" applyAlignment="1" applyProtection="1">
      <alignment horizontal="center" vertical="center"/>
      <protection hidden="1"/>
    </xf>
    <xf numFmtId="0" fontId="5" fillId="7" borderId="49" xfId="0" applyFont="1" applyFill="1" applyBorder="1" applyAlignment="1" applyProtection="1">
      <alignment horizontal="left" vertical="center" wrapText="1"/>
      <protection hidden="1"/>
    </xf>
    <xf numFmtId="0" fontId="5" fillId="7" borderId="50" xfId="0" applyFont="1" applyFill="1" applyBorder="1" applyAlignment="1" applyProtection="1">
      <alignment horizontal="left" vertical="center" wrapText="1"/>
      <protection hidden="1"/>
    </xf>
    <xf numFmtId="0" fontId="8" fillId="20" borderId="61" xfId="0" applyFont="1" applyFill="1" applyBorder="1" applyAlignment="1">
      <alignment horizontal="center" vertical="center"/>
    </xf>
    <xf numFmtId="0" fontId="8" fillId="20" borderId="62" xfId="0" applyFont="1" applyFill="1" applyBorder="1" applyAlignment="1">
      <alignment horizontal="center" vertical="center"/>
    </xf>
    <xf numFmtId="0" fontId="9" fillId="0" borderId="96" xfId="0" applyFont="1" applyBorder="1" applyAlignment="1">
      <alignment horizontal="left" vertical="center"/>
    </xf>
    <xf numFmtId="0" fontId="9" fillId="0" borderId="97" xfId="0" applyFont="1" applyBorder="1" applyAlignment="1">
      <alignment horizontal="left" vertical="center"/>
    </xf>
    <xf numFmtId="0" fontId="9" fillId="0" borderId="80" xfId="0" applyFont="1" applyBorder="1" applyAlignment="1">
      <alignment horizontal="left" vertical="center"/>
    </xf>
    <xf numFmtId="0" fontId="9" fillId="0" borderId="81" xfId="0" applyFont="1" applyBorder="1" applyAlignment="1">
      <alignment horizontal="left" vertical="center"/>
    </xf>
    <xf numFmtId="167" fontId="1" fillId="5" borderId="97" xfId="2" applyNumberFormat="1" applyFont="1" applyFill="1" applyBorder="1" applyAlignment="1" applyProtection="1">
      <alignment horizontal="center" vertical="center"/>
      <protection locked="0"/>
    </xf>
    <xf numFmtId="167" fontId="1" fillId="5" borderId="81" xfId="2" applyNumberFormat="1" applyFont="1" applyFill="1" applyBorder="1" applyAlignment="1" applyProtection="1">
      <alignment horizontal="center" vertical="center"/>
      <protection locked="0"/>
    </xf>
    <xf numFmtId="37" fontId="1" fillId="0" borderId="98" xfId="2" applyNumberFormat="1" applyFont="1" applyBorder="1" applyAlignment="1">
      <alignment horizontal="center" vertical="center"/>
    </xf>
    <xf numFmtId="37" fontId="1" fillId="0" borderId="81" xfId="2" applyNumberFormat="1" applyFont="1" applyBorder="1" applyAlignment="1">
      <alignment horizontal="center" vertical="center"/>
    </xf>
    <xf numFmtId="37" fontId="1" fillId="0" borderId="97" xfId="2" applyNumberFormat="1" applyFont="1" applyBorder="1" applyAlignment="1">
      <alignment horizontal="center" vertical="center"/>
    </xf>
    <xf numFmtId="0" fontId="9" fillId="0" borderId="96" xfId="0" applyFont="1" applyBorder="1" applyAlignment="1">
      <alignment horizontal="left" vertical="center" wrapText="1"/>
    </xf>
    <xf numFmtId="0" fontId="9" fillId="0" borderId="97" xfId="0" applyFont="1" applyBorder="1" applyAlignment="1">
      <alignment horizontal="left" vertical="center" wrapText="1"/>
    </xf>
    <xf numFmtId="0" fontId="9" fillId="0" borderId="80" xfId="0" applyFont="1" applyBorder="1" applyAlignment="1">
      <alignment horizontal="left" vertical="center" wrapText="1"/>
    </xf>
    <xf numFmtId="0" fontId="9" fillId="0" borderId="81" xfId="0" applyFont="1" applyBorder="1" applyAlignment="1">
      <alignment horizontal="left" vertical="center" wrapText="1"/>
    </xf>
    <xf numFmtId="37" fontId="1" fillId="0" borderId="104" xfId="2" applyNumberFormat="1" applyFont="1" applyBorder="1" applyAlignment="1">
      <alignment horizontal="center" vertical="center"/>
    </xf>
    <xf numFmtId="0" fontId="9" fillId="0" borderId="77" xfId="0" applyFont="1" applyBorder="1" applyAlignment="1">
      <alignment horizontal="left" vertical="center" wrapText="1"/>
    </xf>
    <xf numFmtId="0" fontId="9" fillId="0" borderId="79" xfId="0" applyFont="1" applyBorder="1" applyAlignment="1">
      <alignment horizontal="left" vertical="center" wrapText="1"/>
    </xf>
    <xf numFmtId="0" fontId="9" fillId="0" borderId="83" xfId="0" applyFont="1" applyBorder="1" applyAlignment="1">
      <alignment horizontal="left" vertical="center" wrapText="1"/>
    </xf>
    <xf numFmtId="0" fontId="9" fillId="0" borderId="84" xfId="0" applyFont="1" applyBorder="1" applyAlignment="1">
      <alignment horizontal="left" vertical="center" wrapText="1"/>
    </xf>
    <xf numFmtId="167" fontId="1" fillId="5" borderId="79" xfId="2" applyNumberFormat="1" applyFont="1" applyFill="1" applyBorder="1" applyAlignment="1" applyProtection="1">
      <alignment horizontal="center" vertical="center"/>
      <protection locked="0"/>
    </xf>
    <xf numFmtId="167" fontId="1" fillId="5" borderId="84" xfId="2" applyNumberFormat="1" applyFont="1" applyFill="1" applyBorder="1" applyAlignment="1" applyProtection="1">
      <alignment horizontal="center" vertical="center"/>
      <protection locked="0"/>
    </xf>
    <xf numFmtId="37" fontId="1" fillId="0" borderId="79" xfId="2" applyNumberFormat="1" applyFont="1" applyBorder="1" applyAlignment="1">
      <alignment horizontal="center" vertical="center"/>
    </xf>
    <xf numFmtId="37" fontId="1" fillId="0" borderId="84" xfId="2" applyNumberFormat="1" applyFont="1" applyBorder="1" applyAlignment="1">
      <alignment horizontal="center" vertical="center"/>
    </xf>
    <xf numFmtId="0" fontId="8" fillId="0" borderId="85" xfId="0" applyFont="1" applyBorder="1" applyAlignment="1">
      <alignment horizontal="right" vertical="center"/>
    </xf>
    <xf numFmtId="0" fontId="8" fillId="0" borderId="86" xfId="0" applyFont="1" applyBorder="1" applyAlignment="1">
      <alignment horizontal="right" vertical="center"/>
    </xf>
    <xf numFmtId="0" fontId="8" fillId="0" borderId="90" xfId="0" applyFont="1" applyBorder="1" applyAlignment="1">
      <alignment horizontal="right" vertical="center"/>
    </xf>
    <xf numFmtId="0" fontId="3" fillId="20" borderId="61" xfId="0" applyFont="1" applyFill="1" applyBorder="1" applyAlignment="1">
      <alignment horizontal="center" vertical="center"/>
    </xf>
    <xf numFmtId="0" fontId="3" fillId="20" borderId="62" xfId="0" applyFont="1" applyFill="1" applyBorder="1" applyAlignment="1">
      <alignment horizontal="center" vertical="center"/>
    </xf>
    <xf numFmtId="0" fontId="13" fillId="9" borderId="114" xfId="0" applyFont="1" applyFill="1" applyBorder="1" applyAlignment="1" applyProtection="1">
      <alignment horizontal="left" vertical="center" wrapText="1"/>
      <protection hidden="1"/>
    </xf>
    <xf numFmtId="0" fontId="13" fillId="9" borderId="115" xfId="0" applyFont="1" applyFill="1" applyBorder="1" applyAlignment="1" applyProtection="1">
      <alignment horizontal="left" vertical="center" wrapText="1"/>
      <protection hidden="1"/>
    </xf>
    <xf numFmtId="0" fontId="13" fillId="8" borderId="109" xfId="0" applyFont="1" applyFill="1" applyBorder="1" applyAlignment="1" applyProtection="1">
      <alignment horizontal="left" vertical="center" wrapText="1"/>
      <protection hidden="1"/>
    </xf>
    <xf numFmtId="0" fontId="13" fillId="8" borderId="105" xfId="0" applyFont="1" applyFill="1" applyBorder="1" applyAlignment="1" applyProtection="1">
      <alignment horizontal="left" vertical="center" wrapText="1"/>
      <protection hidden="1"/>
    </xf>
    <xf numFmtId="0" fontId="0" fillId="9" borderId="126" xfId="0" applyFill="1" applyBorder="1" applyAlignment="1">
      <alignment horizontal="center" vertical="center"/>
    </xf>
    <xf numFmtId="0" fontId="0" fillId="9" borderId="87" xfId="0" applyFill="1" applyBorder="1" applyAlignment="1">
      <alignment horizontal="center" vertical="center"/>
    </xf>
    <xf numFmtId="0" fontId="13" fillId="9" borderId="109" xfId="0" applyFont="1" applyFill="1" applyBorder="1" applyAlignment="1" applyProtection="1">
      <alignment horizontal="left" vertical="center" wrapText="1"/>
      <protection hidden="1"/>
    </xf>
    <xf numFmtId="0" fontId="13" fillId="9" borderId="105" xfId="0" applyFont="1" applyFill="1" applyBorder="1" applyAlignment="1" applyProtection="1">
      <alignment horizontal="left" vertical="center" wrapText="1"/>
      <protection hidden="1"/>
    </xf>
    <xf numFmtId="10" fontId="3" fillId="9" borderId="124" xfId="0" applyNumberFormat="1" applyFont="1" applyFill="1" applyBorder="1" applyAlignment="1">
      <alignment horizontal="center" vertical="center"/>
    </xf>
    <xf numFmtId="10" fontId="3" fillId="9" borderId="125" xfId="0" applyNumberFormat="1" applyFont="1" applyFill="1" applyBorder="1" applyAlignment="1">
      <alignment horizontal="center" vertical="center"/>
    </xf>
    <xf numFmtId="10" fontId="3" fillId="9" borderId="123" xfId="0" applyNumberFormat="1" applyFont="1" applyFill="1" applyBorder="1" applyAlignment="1">
      <alignment horizontal="center" vertical="center"/>
    </xf>
    <xf numFmtId="10" fontId="3" fillId="9" borderId="82" xfId="0" applyNumberFormat="1" applyFont="1" applyFill="1" applyBorder="1" applyAlignment="1">
      <alignment horizontal="center" vertical="center"/>
    </xf>
    <xf numFmtId="0" fontId="13" fillId="8" borderId="111" xfId="0" applyFont="1" applyFill="1" applyBorder="1" applyAlignment="1" applyProtection="1">
      <alignment horizontal="left" vertical="center" wrapText="1"/>
      <protection hidden="1"/>
    </xf>
    <xf numFmtId="0" fontId="13" fillId="8" borderId="112" xfId="0" applyFont="1" applyFill="1" applyBorder="1" applyAlignment="1" applyProtection="1">
      <alignment horizontal="left" vertical="center" wrapText="1"/>
      <protection hidden="1"/>
    </xf>
    <xf numFmtId="0" fontId="8" fillId="4" borderId="106" xfId="0" applyFont="1" applyFill="1" applyBorder="1" applyAlignment="1">
      <alignment horizontal="center" vertical="center"/>
    </xf>
    <xf numFmtId="0" fontId="8" fillId="4" borderId="107" xfId="0" applyFont="1" applyFill="1" applyBorder="1" applyAlignment="1">
      <alignment horizontal="center" vertical="center"/>
    </xf>
    <xf numFmtId="0" fontId="8" fillId="4" borderId="111" xfId="0" applyFont="1" applyFill="1" applyBorder="1" applyAlignment="1">
      <alignment horizontal="center" vertical="center"/>
    </xf>
    <xf numFmtId="0" fontId="8" fillId="4" borderId="112" xfId="0" applyFont="1" applyFill="1" applyBorder="1" applyAlignment="1">
      <alignment horizontal="center" vertical="center"/>
    </xf>
    <xf numFmtId="0" fontId="14" fillId="0" borderId="109" xfId="1" applyFont="1" applyBorder="1" applyAlignment="1" applyProtection="1">
      <alignment horizontal="center" vertical="center" wrapText="1"/>
      <protection locked="0"/>
    </xf>
    <xf numFmtId="0" fontId="14" fillId="0" borderId="110" xfId="1" applyFont="1" applyBorder="1" applyAlignment="1" applyProtection="1">
      <alignment horizontal="center" vertical="center" wrapText="1"/>
      <protection locked="0"/>
    </xf>
    <xf numFmtId="0" fontId="14" fillId="0" borderId="119" xfId="1" applyFont="1" applyBorder="1" applyAlignment="1" applyProtection="1">
      <alignment horizontal="center" vertical="center" wrapText="1"/>
      <protection locked="0"/>
    </xf>
    <xf numFmtId="0" fontId="14" fillId="0" borderId="120" xfId="1" applyFont="1" applyBorder="1" applyAlignment="1" applyProtection="1">
      <alignment horizontal="center" vertical="center" wrapText="1"/>
      <protection locked="0"/>
    </xf>
    <xf numFmtId="0" fontId="9" fillId="0" borderId="109" xfId="0" applyFont="1" applyBorder="1" applyAlignment="1">
      <alignment horizontal="left" wrapText="1"/>
    </xf>
    <xf numFmtId="0" fontId="9" fillId="0" borderId="105" xfId="0" applyFont="1" applyBorder="1" applyAlignment="1">
      <alignment horizontal="left" wrapText="1"/>
    </xf>
    <xf numFmtId="0" fontId="8" fillId="6" borderId="74" xfId="0" applyFont="1" applyFill="1" applyBorder="1" applyAlignment="1">
      <alignment horizontal="center" vertical="center"/>
    </xf>
    <xf numFmtId="0" fontId="8" fillId="6" borderId="75" xfId="0" applyFont="1" applyFill="1" applyBorder="1" applyAlignment="1">
      <alignment horizontal="center" vertical="center"/>
    </xf>
    <xf numFmtId="0" fontId="3" fillId="20" borderId="105" xfId="0" applyFont="1" applyFill="1" applyBorder="1" applyAlignment="1">
      <alignment horizontal="center" vertical="center"/>
    </xf>
    <xf numFmtId="0" fontId="54" fillId="21" borderId="117" xfId="0" applyFont="1" applyFill="1" applyBorder="1" applyAlignment="1" applyProtection="1">
      <alignment horizontal="center" vertical="center"/>
      <protection hidden="1"/>
    </xf>
    <xf numFmtId="0" fontId="54" fillId="21" borderId="118" xfId="0" applyFont="1" applyFill="1" applyBorder="1" applyAlignment="1" applyProtection="1">
      <alignment horizontal="center" vertical="center"/>
      <protection hidden="1"/>
    </xf>
    <xf numFmtId="0" fontId="54" fillId="21" borderId="93" xfId="0" applyFont="1" applyFill="1" applyBorder="1" applyAlignment="1" applyProtection="1">
      <alignment horizontal="center" vertical="center"/>
      <protection hidden="1"/>
    </xf>
    <xf numFmtId="0" fontId="4" fillId="11" borderId="61" xfId="0" applyFont="1" applyFill="1" applyBorder="1" applyAlignment="1" applyProtection="1">
      <alignment horizontal="center" vertical="center" wrapText="1"/>
      <protection hidden="1"/>
    </xf>
    <xf numFmtId="0" fontId="4" fillId="11" borderId="62" xfId="0" applyFont="1" applyFill="1" applyBorder="1" applyAlignment="1" applyProtection="1">
      <alignment horizontal="center" vertical="center" wrapText="1"/>
      <protection hidden="1"/>
    </xf>
    <xf numFmtId="0" fontId="4" fillId="11" borderId="63" xfId="0" applyFont="1" applyFill="1" applyBorder="1" applyAlignment="1" applyProtection="1">
      <alignment horizontal="center" vertical="center" wrapText="1"/>
      <protection hidden="1"/>
    </xf>
    <xf numFmtId="0" fontId="4" fillId="11" borderId="106" xfId="0" applyFont="1" applyFill="1" applyBorder="1" applyAlignment="1" applyProtection="1">
      <alignment horizontal="center" vertical="center" wrapText="1"/>
      <protection hidden="1"/>
    </xf>
    <xf numFmtId="0" fontId="4" fillId="11" borderId="108" xfId="0" applyFont="1" applyFill="1" applyBorder="1" applyAlignment="1" applyProtection="1">
      <alignment horizontal="center" vertical="center" wrapText="1"/>
      <protection hidden="1"/>
    </xf>
    <xf numFmtId="0" fontId="9" fillId="0" borderId="111" xfId="0" applyFont="1" applyBorder="1" applyAlignment="1">
      <alignment horizontal="left" wrapText="1"/>
    </xf>
    <xf numFmtId="0" fontId="9" fillId="0" borderId="112" xfId="0" applyFont="1" applyBorder="1" applyAlignment="1">
      <alignment horizontal="left" wrapText="1"/>
    </xf>
    <xf numFmtId="0" fontId="13" fillId="22" borderId="70" xfId="0" applyFont="1" applyFill="1" applyBorder="1" applyAlignment="1" applyProtection="1">
      <alignment horizontal="center" vertical="center" wrapText="1"/>
      <protection hidden="1"/>
    </xf>
    <xf numFmtId="0" fontId="13" fillId="22" borderId="69" xfId="0" applyFont="1" applyFill="1" applyBorder="1" applyAlignment="1" applyProtection="1">
      <alignment horizontal="center" vertical="center" wrapText="1"/>
      <protection hidden="1"/>
    </xf>
    <xf numFmtId="0" fontId="13" fillId="22" borderId="71" xfId="0" applyFont="1" applyFill="1" applyBorder="1" applyAlignment="1" applyProtection="1">
      <alignment horizontal="center" vertical="center" wrapText="1"/>
      <protection hidden="1"/>
    </xf>
    <xf numFmtId="0" fontId="18" fillId="0" borderId="70" xfId="0" applyFont="1" applyBorder="1" applyAlignment="1">
      <alignment horizontal="center" vertical="center" wrapText="1"/>
    </xf>
    <xf numFmtId="0" fontId="18" fillId="0" borderId="72" xfId="0" applyFont="1" applyBorder="1" applyAlignment="1">
      <alignment horizontal="center" vertical="center" wrapText="1"/>
    </xf>
    <xf numFmtId="0" fontId="9" fillId="0" borderId="107" xfId="0" applyFont="1" applyBorder="1" applyAlignment="1">
      <alignment horizontal="left" vertical="center" wrapText="1"/>
    </xf>
    <xf numFmtId="0" fontId="9" fillId="0" borderId="121" xfId="0" applyFont="1" applyBorder="1" applyAlignment="1">
      <alignment horizontal="left" vertical="center" wrapText="1"/>
    </xf>
    <xf numFmtId="44" fontId="77" fillId="5" borderId="71" xfId="0" applyNumberFormat="1" applyFont="1" applyFill="1" applyBorder="1" applyAlignment="1" applyProtection="1">
      <alignment horizontal="center" vertical="center"/>
      <protection locked="0"/>
    </xf>
    <xf numFmtId="44" fontId="77" fillId="5" borderId="73" xfId="0" applyNumberFormat="1" applyFont="1" applyFill="1" applyBorder="1" applyAlignment="1" applyProtection="1">
      <alignment horizontal="center" vertical="center"/>
      <protection locked="0"/>
    </xf>
    <xf numFmtId="0" fontId="18" fillId="0" borderId="74" xfId="0" applyFont="1" applyBorder="1" applyAlignment="1">
      <alignment horizontal="center" vertical="center" wrapText="1"/>
    </xf>
    <xf numFmtId="0" fontId="9" fillId="0" borderId="107" xfId="0" applyFont="1" applyBorder="1" applyAlignment="1">
      <alignment horizontal="left" wrapText="1"/>
    </xf>
    <xf numFmtId="0" fontId="9" fillId="0" borderId="114" xfId="0" applyFont="1" applyBorder="1" applyAlignment="1" applyProtection="1">
      <alignment horizontal="center" vertical="center" wrapText="1"/>
      <protection locked="0"/>
    </xf>
    <xf numFmtId="0" fontId="9" fillId="0" borderId="115" xfId="0" applyFont="1" applyBorder="1" applyAlignment="1" applyProtection="1">
      <alignment horizontal="center" vertical="center" wrapText="1"/>
      <protection locked="0"/>
    </xf>
    <xf numFmtId="0" fontId="9" fillId="0" borderId="109" xfId="0" applyFont="1" applyBorder="1" applyAlignment="1" applyProtection="1">
      <alignment horizontal="center" vertical="center" wrapText="1"/>
      <protection locked="0"/>
    </xf>
    <xf numFmtId="0" fontId="9" fillId="0" borderId="105" xfId="0" applyFont="1" applyBorder="1" applyAlignment="1" applyProtection="1">
      <alignment horizontal="center" vertical="center" wrapText="1"/>
      <protection locked="0"/>
    </xf>
    <xf numFmtId="165" fontId="13" fillId="0" borderId="115" xfId="0" applyNumberFormat="1" applyFont="1" applyBorder="1" applyAlignment="1" applyProtection="1">
      <alignment horizontal="center" vertical="center" wrapText="1"/>
      <protection locked="0"/>
    </xf>
    <xf numFmtId="165" fontId="13" fillId="0" borderId="105" xfId="0" applyNumberFormat="1" applyFont="1" applyBorder="1" applyAlignment="1" applyProtection="1">
      <alignment horizontal="center" vertical="center" wrapText="1"/>
      <protection locked="0"/>
    </xf>
    <xf numFmtId="165" fontId="13" fillId="0" borderId="116" xfId="0" applyNumberFormat="1" applyFont="1" applyBorder="1" applyAlignment="1" applyProtection="1">
      <alignment horizontal="center" vertical="center" wrapText="1"/>
      <protection locked="0"/>
    </xf>
    <xf numFmtId="165" fontId="13" fillId="0" borderId="110" xfId="0" applyNumberFormat="1" applyFont="1" applyBorder="1" applyAlignment="1" applyProtection="1">
      <alignment horizontal="center" vertical="center" wrapText="1"/>
      <protection locked="0"/>
    </xf>
    <xf numFmtId="0" fontId="13" fillId="9" borderId="112" xfId="0" applyFont="1" applyFill="1" applyBorder="1" applyAlignment="1">
      <alignment horizontal="left"/>
    </xf>
    <xf numFmtId="0" fontId="18" fillId="0" borderId="122" xfId="0" applyFont="1" applyBorder="1" applyAlignment="1">
      <alignment horizontal="center" vertical="center" wrapText="1"/>
    </xf>
    <xf numFmtId="0" fontId="9" fillId="0" borderId="121" xfId="0" applyFont="1" applyBorder="1" applyAlignment="1">
      <alignment horizontal="left" wrapText="1"/>
    </xf>
    <xf numFmtId="0" fontId="13" fillId="9" borderId="61" xfId="0" applyFont="1" applyFill="1" applyBorder="1" applyAlignment="1">
      <alignment horizontal="left" wrapText="1"/>
    </xf>
    <xf numFmtId="0" fontId="13" fillId="9" borderId="62" xfId="0" applyFont="1" applyFill="1" applyBorder="1" applyAlignment="1">
      <alignment horizontal="left" wrapText="1"/>
    </xf>
    <xf numFmtId="0" fontId="5" fillId="9" borderId="1" xfId="0" applyFont="1" applyFill="1" applyBorder="1" applyAlignment="1" applyProtection="1">
      <alignment horizontal="left" vertical="center" wrapText="1"/>
      <protection hidden="1"/>
    </xf>
    <xf numFmtId="0" fontId="13" fillId="9" borderId="117" xfId="0" applyFont="1" applyFill="1" applyBorder="1" applyAlignment="1">
      <alignment vertical="center" wrapText="1"/>
    </xf>
    <xf numFmtId="0" fontId="13" fillId="9" borderId="118" xfId="0" applyFont="1" applyFill="1" applyBorder="1" applyAlignment="1">
      <alignment vertical="center" wrapText="1"/>
    </xf>
    <xf numFmtId="0" fontId="13" fillId="9" borderId="118" xfId="0" applyFont="1" applyFill="1" applyBorder="1" applyAlignment="1">
      <alignment horizontal="center" vertical="center" wrapText="1"/>
    </xf>
    <xf numFmtId="0" fontId="51" fillId="10" borderId="137" xfId="0" applyFont="1" applyFill="1" applyBorder="1" applyAlignment="1">
      <alignment horizontal="center" vertical="center"/>
    </xf>
    <xf numFmtId="0" fontId="51" fillId="10" borderId="138" xfId="0" applyFont="1" applyFill="1" applyBorder="1" applyAlignment="1">
      <alignment horizontal="center" vertical="center"/>
    </xf>
    <xf numFmtId="0" fontId="51" fillId="10" borderId="139" xfId="0" applyFont="1" applyFill="1" applyBorder="1" applyAlignment="1">
      <alignment horizontal="center" vertical="center"/>
    </xf>
    <xf numFmtId="0" fontId="56" fillId="2" borderId="0" xfId="0" applyFont="1" applyFill="1" applyBorder="1" applyAlignment="1">
      <alignment horizontal="center" vertical="center"/>
    </xf>
    <xf numFmtId="0" fontId="51" fillId="10" borderId="109" xfId="0" applyFont="1" applyFill="1" applyBorder="1" applyAlignment="1">
      <alignment vertical="center"/>
    </xf>
    <xf numFmtId="0" fontId="51" fillId="10" borderId="105" xfId="0" applyFont="1" applyFill="1" applyBorder="1" applyAlignment="1">
      <alignment vertical="center"/>
    </xf>
    <xf numFmtId="0" fontId="42" fillId="2" borderId="105" xfId="0" applyFont="1" applyFill="1" applyBorder="1" applyAlignment="1">
      <alignment vertical="center"/>
    </xf>
    <xf numFmtId="0" fontId="42" fillId="2" borderId="110" xfId="0" applyFont="1" applyFill="1" applyBorder="1" applyAlignment="1">
      <alignment vertical="center"/>
    </xf>
    <xf numFmtId="0" fontId="42" fillId="0" borderId="105" xfId="0" applyFont="1" applyBorder="1" applyAlignment="1">
      <alignment horizontal="left" vertical="center"/>
    </xf>
    <xf numFmtId="0" fontId="42" fillId="0" borderId="110" xfId="0" applyFont="1" applyBorder="1" applyAlignment="1">
      <alignment horizontal="left" vertical="center"/>
    </xf>
    <xf numFmtId="0" fontId="51" fillId="10" borderId="111" xfId="0" applyFont="1" applyFill="1" applyBorder="1" applyAlignment="1">
      <alignment vertical="center"/>
    </xf>
    <xf numFmtId="0" fontId="51" fillId="10" borderId="112" xfId="0" applyFont="1" applyFill="1" applyBorder="1" applyAlignment="1">
      <alignment vertical="center"/>
    </xf>
    <xf numFmtId="178" fontId="42" fillId="0" borderId="112" xfId="0" applyNumberFormat="1" applyFont="1" applyBorder="1" applyAlignment="1">
      <alignment horizontal="center" vertical="center"/>
    </xf>
    <xf numFmtId="178" fontId="42" fillId="0" borderId="113" xfId="0" applyNumberFormat="1" applyFont="1" applyBorder="1" applyAlignment="1">
      <alignment horizontal="center" vertical="center"/>
    </xf>
    <xf numFmtId="0" fontId="51" fillId="10" borderId="61" xfId="0" applyFont="1" applyFill="1" applyBorder="1" applyAlignment="1">
      <alignment vertical="center"/>
    </xf>
    <xf numFmtId="0" fontId="51" fillId="10" borderId="62" xfId="0" applyFont="1" applyFill="1" applyBorder="1" applyAlignment="1">
      <alignment vertical="center"/>
    </xf>
    <xf numFmtId="0" fontId="42" fillId="2" borderId="62" xfId="0" applyFont="1" applyFill="1" applyBorder="1" applyAlignment="1">
      <alignment vertical="center" wrapText="1"/>
    </xf>
    <xf numFmtId="0" fontId="42" fillId="2" borderId="63" xfId="0" applyFont="1" applyFill="1" applyBorder="1" applyAlignment="1">
      <alignment vertical="center" wrapText="1"/>
    </xf>
    <xf numFmtId="14" fontId="42" fillId="0" borderId="112" xfId="0" applyNumberFormat="1" applyFont="1" applyBorder="1" applyAlignment="1">
      <alignment horizontal="center" vertical="center"/>
    </xf>
    <xf numFmtId="0" fontId="42" fillId="2" borderId="170" xfId="0" applyFont="1" applyFill="1" applyBorder="1" applyAlignment="1">
      <alignment horizontal="left" vertical="center"/>
    </xf>
    <xf numFmtId="0" fontId="42" fillId="2" borderId="171" xfId="0" applyFont="1" applyFill="1" applyBorder="1" applyAlignment="1">
      <alignment horizontal="left" vertical="center"/>
    </xf>
    <xf numFmtId="0" fontId="63" fillId="0" borderId="62" xfId="0" applyFont="1" applyBorder="1" applyAlignment="1">
      <alignment horizontal="center" vertical="center"/>
    </xf>
    <xf numFmtId="0" fontId="63" fillId="0" borderId="63" xfId="0" applyFont="1" applyBorder="1" applyAlignment="1">
      <alignment horizontal="center" vertical="center"/>
    </xf>
    <xf numFmtId="0" fontId="51" fillId="10" borderId="137" xfId="0" applyFont="1" applyFill="1" applyBorder="1" applyAlignment="1">
      <alignment vertical="center"/>
    </xf>
    <xf numFmtId="0" fontId="51" fillId="10" borderId="138" xfId="0" applyFont="1" applyFill="1" applyBorder="1" applyAlignment="1">
      <alignment vertical="center"/>
    </xf>
    <xf numFmtId="0" fontId="51" fillId="10" borderId="139" xfId="0" applyFont="1" applyFill="1" applyBorder="1" applyAlignment="1">
      <alignment vertical="center"/>
    </xf>
    <xf numFmtId="0" fontId="42" fillId="2" borderId="81" xfId="0" applyFont="1" applyFill="1" applyBorder="1" applyAlignment="1">
      <alignment horizontal="left" vertical="center"/>
    </xf>
    <xf numFmtId="0" fontId="42" fillId="2" borderId="104" xfId="0" applyFont="1" applyFill="1" applyBorder="1" applyAlignment="1">
      <alignment horizontal="left" vertical="center"/>
    </xf>
    <xf numFmtId="0" fontId="54" fillId="10" borderId="137" xfId="0" applyFont="1" applyFill="1" applyBorder="1" applyAlignment="1">
      <alignment horizontal="center" vertical="center"/>
    </xf>
    <xf numFmtId="0" fontId="54" fillId="10" borderId="138" xfId="0" applyFont="1" applyFill="1" applyBorder="1" applyAlignment="1">
      <alignment horizontal="center" vertical="center"/>
    </xf>
    <xf numFmtId="0" fontId="42" fillId="2" borderId="127" xfId="0" applyFont="1" applyFill="1" applyBorder="1" applyAlignment="1">
      <alignment horizontal="left" vertical="center"/>
    </xf>
    <xf numFmtId="0" fontId="63" fillId="0" borderId="75" xfId="0" applyFont="1" applyBorder="1" applyAlignment="1">
      <alignment horizontal="center" vertical="center"/>
    </xf>
    <xf numFmtId="0" fontId="63" fillId="0" borderId="76" xfId="0" applyFont="1" applyBorder="1" applyAlignment="1">
      <alignment horizontal="center" vertical="center"/>
    </xf>
    <xf numFmtId="1" fontId="64" fillId="0" borderId="112" xfId="0" applyNumberFormat="1" applyFont="1" applyBorder="1" applyAlignment="1">
      <alignment horizontal="center" vertical="center"/>
    </xf>
    <xf numFmtId="1" fontId="64" fillId="0" borderId="113" xfId="0" applyNumberFormat="1" applyFont="1" applyBorder="1" applyAlignment="1">
      <alignment horizontal="center" vertical="center"/>
    </xf>
    <xf numFmtId="0" fontId="42" fillId="2" borderId="135" xfId="0" applyFont="1" applyFill="1" applyBorder="1" applyAlignment="1">
      <alignment horizontal="left" vertical="center"/>
    </xf>
    <xf numFmtId="0" fontId="42" fillId="2" borderId="136" xfId="0" applyFont="1" applyFill="1" applyBorder="1" applyAlignment="1">
      <alignment horizontal="left" vertical="center"/>
    </xf>
    <xf numFmtId="0" fontId="63" fillId="0" borderId="166" xfId="0" applyFont="1" applyBorder="1" applyAlignment="1">
      <alignment horizontal="center" vertical="center"/>
    </xf>
    <xf numFmtId="0" fontId="63" fillId="0" borderId="167" xfId="0" applyFont="1" applyBorder="1" applyAlignment="1">
      <alignment horizontal="center" vertical="center"/>
    </xf>
    <xf numFmtId="0" fontId="42" fillId="2" borderId="138" xfId="0" applyFont="1" applyFill="1" applyBorder="1" applyAlignment="1">
      <alignment horizontal="left" vertical="center"/>
    </xf>
    <xf numFmtId="0" fontId="54" fillId="0" borderId="29" xfId="0" applyFont="1" applyBorder="1" applyAlignment="1">
      <alignment horizontal="center" vertical="center"/>
    </xf>
    <xf numFmtId="0" fontId="54" fillId="10" borderId="142" xfId="0" applyFont="1" applyFill="1" applyBorder="1" applyAlignment="1">
      <alignment horizontal="center" vertical="center"/>
    </xf>
    <xf numFmtId="0" fontId="54" fillId="10" borderId="143" xfId="0" applyFont="1" applyFill="1" applyBorder="1" applyAlignment="1">
      <alignment horizontal="center" vertical="center"/>
    </xf>
    <xf numFmtId="0" fontId="54" fillId="10" borderId="144" xfId="0" applyFont="1" applyFill="1" applyBorder="1" applyAlignment="1">
      <alignment horizontal="center" vertical="center"/>
    </xf>
    <xf numFmtId="0" fontId="51" fillId="10" borderId="145" xfId="0" applyFont="1" applyFill="1" applyBorder="1" applyAlignment="1">
      <alignment horizontal="left" vertical="center"/>
    </xf>
    <xf numFmtId="0" fontId="51" fillId="10" borderId="146" xfId="0" applyFont="1" applyFill="1" applyBorder="1" applyAlignment="1">
      <alignment horizontal="left" vertical="center"/>
    </xf>
    <xf numFmtId="0" fontId="51" fillId="10" borderId="147" xfId="0" applyFont="1" applyFill="1" applyBorder="1" applyAlignment="1">
      <alignment horizontal="left" vertical="center"/>
    </xf>
    <xf numFmtId="0" fontId="42" fillId="0" borderId="148" xfId="0" applyFont="1" applyBorder="1" applyAlignment="1">
      <alignment horizontal="left" vertical="center"/>
    </xf>
    <xf numFmtId="0" fontId="51" fillId="10" borderId="61" xfId="0" applyFont="1" applyFill="1" applyBorder="1" applyAlignment="1">
      <alignment horizontal="center" vertical="center"/>
    </xf>
    <xf numFmtId="0" fontId="51" fillId="10" borderId="62" xfId="0" applyFont="1" applyFill="1" applyBorder="1" applyAlignment="1">
      <alignment horizontal="center" vertical="center"/>
    </xf>
    <xf numFmtId="0" fontId="51" fillId="10" borderId="152" xfId="0" applyFont="1" applyFill="1" applyBorder="1" applyAlignment="1">
      <alignment horizontal="left" vertical="center"/>
    </xf>
    <xf numFmtId="0" fontId="51" fillId="10" borderId="153" xfId="0" applyFont="1" applyFill="1" applyBorder="1" applyAlignment="1">
      <alignment horizontal="left" vertical="center"/>
    </xf>
    <xf numFmtId="0" fontId="51" fillId="10" borderId="154" xfId="0" applyFont="1" applyFill="1" applyBorder="1" applyAlignment="1">
      <alignment horizontal="left" vertical="center"/>
    </xf>
    <xf numFmtId="0" fontId="42" fillId="2" borderId="105" xfId="0" applyFont="1" applyFill="1" applyBorder="1" applyAlignment="1">
      <alignment horizontal="left" vertical="center"/>
    </xf>
    <xf numFmtId="0" fontId="51" fillId="10" borderId="163" xfId="0" applyFont="1" applyFill="1" applyBorder="1" applyAlignment="1">
      <alignment horizontal="center" vertical="center"/>
    </xf>
    <xf numFmtId="0" fontId="51" fillId="10" borderId="164" xfId="0" applyFont="1" applyFill="1" applyBorder="1" applyAlignment="1">
      <alignment horizontal="center" vertical="center"/>
    </xf>
    <xf numFmtId="0" fontId="51" fillId="10" borderId="165" xfId="0" applyFont="1" applyFill="1" applyBorder="1" applyAlignment="1">
      <alignment horizontal="center" vertical="center"/>
    </xf>
    <xf numFmtId="0" fontId="42" fillId="2" borderId="64" xfId="0" applyFont="1" applyFill="1" applyBorder="1" applyAlignment="1">
      <alignment horizontal="center" vertical="center"/>
    </xf>
    <xf numFmtId="0" fontId="42" fillId="2" borderId="130" xfId="0" applyFont="1" applyFill="1" applyBorder="1" applyAlignment="1">
      <alignment horizontal="center" vertical="center"/>
    </xf>
    <xf numFmtId="0" fontId="42" fillId="2" borderId="131" xfId="0" applyFont="1" applyFill="1" applyBorder="1" applyAlignment="1">
      <alignment horizontal="center" vertical="center"/>
    </xf>
    <xf numFmtId="172" fontId="42" fillId="0" borderId="105" xfId="0" applyNumberFormat="1" applyFont="1" applyBorder="1" applyAlignment="1">
      <alignment horizontal="center" vertical="center"/>
    </xf>
    <xf numFmtId="0" fontId="51" fillId="10" borderId="126" xfId="0" applyFont="1" applyFill="1" applyBorder="1" applyAlignment="1">
      <alignment horizontal="left" vertical="center"/>
    </xf>
    <xf numFmtId="0" fontId="51" fillId="10" borderId="172" xfId="0" applyFont="1" applyFill="1" applyBorder="1" applyAlignment="1">
      <alignment horizontal="left" vertical="center"/>
    </xf>
    <xf numFmtId="0" fontId="51" fillId="10" borderId="87" xfId="0" applyFont="1" applyFill="1" applyBorder="1" applyAlignment="1">
      <alignment horizontal="left" vertical="center"/>
    </xf>
    <xf numFmtId="0" fontId="42" fillId="0" borderId="79" xfId="0" applyFont="1" applyBorder="1" applyAlignment="1">
      <alignment horizontal="left" vertical="center"/>
    </xf>
    <xf numFmtId="0" fontId="42" fillId="0" borderId="78" xfId="0" applyFont="1" applyBorder="1" applyAlignment="1">
      <alignment horizontal="left" vertical="center"/>
    </xf>
    <xf numFmtId="0" fontId="42" fillId="0" borderId="151" xfId="0" applyFont="1" applyBorder="1" applyAlignment="1">
      <alignment horizontal="left" vertical="center"/>
    </xf>
    <xf numFmtId="0" fontId="42" fillId="2" borderId="158" xfId="0" applyFont="1" applyFill="1" applyBorder="1" applyAlignment="1">
      <alignment horizontal="left" vertical="center"/>
    </xf>
    <xf numFmtId="0" fontId="42" fillId="2" borderId="159" xfId="0" applyFont="1" applyFill="1" applyBorder="1" applyAlignment="1">
      <alignment horizontal="left" vertical="center"/>
    </xf>
    <xf numFmtId="0" fontId="42" fillId="2" borderId="160" xfId="0" applyFont="1" applyFill="1" applyBorder="1" applyAlignment="1">
      <alignment horizontal="left" vertical="center"/>
    </xf>
    <xf numFmtId="0" fontId="51" fillId="10" borderId="161" xfId="0" applyFont="1" applyFill="1" applyBorder="1" applyAlignment="1">
      <alignment horizontal="center" vertical="center"/>
    </xf>
    <xf numFmtId="0" fontId="51" fillId="10" borderId="171" xfId="0" applyFont="1" applyFill="1" applyBorder="1" applyAlignment="1">
      <alignment horizontal="center" vertical="center"/>
    </xf>
    <xf numFmtId="0" fontId="51" fillId="10" borderId="170" xfId="0" applyFont="1" applyFill="1" applyBorder="1" applyAlignment="1">
      <alignment horizontal="center" vertical="center"/>
    </xf>
    <xf numFmtId="0" fontId="42" fillId="0" borderId="158" xfId="0" applyFont="1" applyBorder="1" applyAlignment="1">
      <alignment horizontal="left" vertical="center"/>
    </xf>
    <xf numFmtId="0" fontId="42" fillId="0" borderId="159" xfId="0" applyFont="1" applyBorder="1" applyAlignment="1">
      <alignment horizontal="left" vertical="center"/>
    </xf>
    <xf numFmtId="0" fontId="42" fillId="0" borderId="160" xfId="0" applyFont="1" applyBorder="1" applyAlignment="1">
      <alignment horizontal="left" vertical="center"/>
    </xf>
    <xf numFmtId="0" fontId="54" fillId="10" borderId="126" xfId="0" applyFont="1" applyFill="1" applyBorder="1" applyAlignment="1">
      <alignment horizontal="center" vertical="center"/>
    </xf>
    <xf numFmtId="0" fontId="54" fillId="10" borderId="172" xfId="0" applyFont="1" applyFill="1" applyBorder="1" applyAlignment="1">
      <alignment horizontal="center" vertical="center"/>
    </xf>
    <xf numFmtId="0" fontId="54" fillId="10" borderId="87" xfId="0" applyFont="1" applyFill="1" applyBorder="1" applyAlignment="1">
      <alignment horizontal="center" vertical="center"/>
    </xf>
    <xf numFmtId="0" fontId="42" fillId="0" borderId="79" xfId="0" applyFont="1" applyBorder="1" applyAlignment="1">
      <alignment horizontal="center" vertical="center"/>
    </xf>
    <xf numFmtId="9" fontId="42" fillId="5" borderId="79" xfId="0" applyNumberFormat="1" applyFont="1" applyFill="1" applyBorder="1" applyAlignment="1" applyProtection="1">
      <alignment horizontal="center" vertical="center"/>
      <protection locked="0"/>
    </xf>
    <xf numFmtId="0" fontId="42" fillId="0" borderId="128" xfId="0" applyFont="1" applyBorder="1" applyAlignment="1">
      <alignment horizontal="left" vertical="center"/>
    </xf>
    <xf numFmtId="0" fontId="42" fillId="0" borderId="176" xfId="0" applyFont="1" applyBorder="1" applyAlignment="1">
      <alignment horizontal="left" vertical="center"/>
    </xf>
    <xf numFmtId="0" fontId="42" fillId="2" borderId="84" xfId="0" applyFont="1" applyFill="1" applyBorder="1" applyAlignment="1" applyProtection="1">
      <alignment horizontal="left" vertical="center"/>
      <protection locked="0"/>
    </xf>
    <xf numFmtId="0" fontId="42" fillId="2" borderId="89" xfId="0" applyFont="1" applyFill="1" applyBorder="1" applyAlignment="1" applyProtection="1">
      <alignment horizontal="left" vertical="center"/>
      <protection locked="0"/>
    </xf>
    <xf numFmtId="0" fontId="51" fillId="10" borderId="86" xfId="0" applyFont="1" applyFill="1" applyBorder="1" applyAlignment="1">
      <alignment horizontal="center" vertical="center"/>
    </xf>
    <xf numFmtId="0" fontId="42" fillId="0" borderId="181" xfId="0" applyFont="1" applyBorder="1" applyAlignment="1">
      <alignment horizontal="left" vertical="center"/>
    </xf>
    <xf numFmtId="0" fontId="42" fillId="0" borderId="182" xfId="0" applyFont="1" applyBorder="1" applyAlignment="1">
      <alignment horizontal="left" vertical="center"/>
    </xf>
    <xf numFmtId="0" fontId="42" fillId="0" borderId="183" xfId="0" applyFont="1" applyBorder="1" applyAlignment="1">
      <alignment horizontal="left" vertical="center"/>
    </xf>
    <xf numFmtId="0" fontId="42" fillId="0" borderId="129" xfId="0" applyFont="1" applyBorder="1" applyAlignment="1">
      <alignment horizontal="left" vertical="center"/>
    </xf>
    <xf numFmtId="0" fontId="42" fillId="0" borderId="130" xfId="0" applyFont="1" applyBorder="1" applyAlignment="1">
      <alignment horizontal="left" vertical="center"/>
    </xf>
    <xf numFmtId="0" fontId="42" fillId="0" borderId="131" xfId="0" applyFont="1" applyBorder="1" applyAlignment="1">
      <alignment horizontal="left" vertical="center"/>
    </xf>
    <xf numFmtId="0" fontId="42" fillId="0" borderId="178" xfId="0" applyFont="1" applyBorder="1" applyAlignment="1">
      <alignment horizontal="left" vertical="center"/>
    </xf>
    <xf numFmtId="0" fontId="42" fillId="0" borderId="179" xfId="0" applyFont="1" applyBorder="1" applyAlignment="1">
      <alignment horizontal="left" vertical="center"/>
    </xf>
    <xf numFmtId="0" fontId="42" fillId="0" borderId="148" xfId="0" applyFont="1" applyBorder="1" applyAlignment="1">
      <alignment horizontal="center" vertical="center"/>
    </xf>
    <xf numFmtId="0" fontId="51" fillId="10" borderId="93" xfId="0" applyFont="1" applyFill="1" applyBorder="1" applyAlignment="1">
      <alignment horizontal="center" vertical="center"/>
    </xf>
    <xf numFmtId="0" fontId="42" fillId="5" borderId="148" xfId="0" applyFont="1" applyFill="1" applyBorder="1" applyAlignment="1" applyProtection="1">
      <alignment horizontal="left" vertical="center"/>
      <protection locked="0"/>
    </xf>
    <xf numFmtId="0" fontId="42" fillId="0" borderId="84" xfId="0" applyFont="1" applyBorder="1" applyAlignment="1">
      <alignment horizontal="left" vertical="center"/>
    </xf>
    <xf numFmtId="0" fontId="42" fillId="0" borderId="89" xfId="0" applyFont="1" applyBorder="1" applyAlignment="1">
      <alignment horizontal="left" vertical="center"/>
    </xf>
    <xf numFmtId="0" fontId="51" fillId="10" borderId="85" xfId="0" applyFont="1" applyFill="1" applyBorder="1" applyAlignment="1">
      <alignment horizontal="center" vertical="center"/>
    </xf>
    <xf numFmtId="0" fontId="51" fillId="10" borderId="162" xfId="0" applyFont="1" applyFill="1" applyBorder="1" applyAlignment="1">
      <alignment horizontal="center" vertical="center"/>
    </xf>
    <xf numFmtId="0" fontId="51" fillId="10" borderId="180" xfId="0" applyFont="1" applyFill="1" applyBorder="1" applyAlignment="1">
      <alignment horizontal="center" vertical="center"/>
    </xf>
    <xf numFmtId="0" fontId="51" fillId="10" borderId="30" xfId="0" applyFont="1" applyFill="1" applyBorder="1" applyAlignment="1">
      <alignment horizontal="left" vertical="center"/>
    </xf>
    <xf numFmtId="0" fontId="42" fillId="0" borderId="1" xfId="0" applyFont="1" applyBorder="1" applyAlignment="1">
      <alignment horizontal="left" vertical="center"/>
    </xf>
    <xf numFmtId="0" fontId="51" fillId="0" borderId="115" xfId="0" applyFont="1" applyBorder="1" applyAlignment="1">
      <alignment horizontal="left" vertical="center"/>
    </xf>
    <xf numFmtId="0" fontId="51" fillId="2" borderId="105" xfId="0" applyFont="1" applyFill="1" applyBorder="1" applyAlignment="1">
      <alignment horizontal="left" vertical="center"/>
    </xf>
    <xf numFmtId="0" fontId="51" fillId="10" borderId="109" xfId="0" applyFont="1" applyFill="1" applyBorder="1" applyAlignment="1">
      <alignment horizontal="center" vertical="center"/>
    </xf>
    <xf numFmtId="0" fontId="51" fillId="0" borderId="105" xfId="0" applyFont="1" applyBorder="1" applyAlignment="1">
      <alignment vertical="center"/>
    </xf>
    <xf numFmtId="0" fontId="80" fillId="5" borderId="105" xfId="0" applyFont="1" applyFill="1" applyBorder="1" applyAlignment="1" applyProtection="1">
      <alignment horizontal="center" vertical="center" wrapText="1"/>
      <protection locked="0"/>
    </xf>
    <xf numFmtId="0" fontId="42" fillId="0" borderId="190" xfId="0" applyFont="1" applyBorder="1" applyAlignment="1">
      <alignment horizontal="center" vertical="center"/>
    </xf>
    <xf numFmtId="0" fontId="42" fillId="0" borderId="191" xfId="0" applyFont="1" applyBorder="1" applyAlignment="1">
      <alignment horizontal="center" vertical="center"/>
    </xf>
    <xf numFmtId="166" fontId="42" fillId="0" borderId="192" xfId="0" applyNumberFormat="1" applyFont="1" applyBorder="1" applyAlignment="1">
      <alignment horizontal="center" vertical="center"/>
    </xf>
    <xf numFmtId="171" fontId="42" fillId="0" borderId="192" xfId="0" applyNumberFormat="1" applyFont="1" applyBorder="1" applyAlignment="1">
      <alignment horizontal="center" vertical="center"/>
    </xf>
    <xf numFmtId="0" fontId="69" fillId="10" borderId="117" xfId="0" applyFont="1" applyFill="1" applyBorder="1" applyAlignment="1">
      <alignment horizontal="left" vertical="center"/>
    </xf>
    <xf numFmtId="0" fontId="69" fillId="10" borderId="194" xfId="0" applyFont="1" applyFill="1" applyBorder="1" applyAlignment="1">
      <alignment horizontal="left" vertical="center"/>
    </xf>
    <xf numFmtId="0" fontId="59" fillId="10" borderId="126" xfId="0" applyFont="1" applyFill="1" applyBorder="1" applyAlignment="1">
      <alignment horizontal="center" vertical="center"/>
    </xf>
    <xf numFmtId="0" fontId="59" fillId="10" borderId="172" xfId="0" applyFont="1" applyFill="1" applyBorder="1" applyAlignment="1">
      <alignment horizontal="center" vertical="center"/>
    </xf>
    <xf numFmtId="0" fontId="59" fillId="10" borderId="87" xfId="0" applyFont="1" applyFill="1" applyBorder="1" applyAlignment="1">
      <alignment horizontal="center" vertical="center"/>
    </xf>
    <xf numFmtId="0" fontId="51" fillId="10" borderId="196" xfId="0" applyFont="1" applyFill="1" applyBorder="1" applyAlignment="1">
      <alignment horizontal="center" vertical="center" wrapText="1"/>
    </xf>
    <xf numFmtId="0" fontId="51" fillId="10" borderId="197" xfId="0" applyFont="1" applyFill="1" applyBorder="1" applyAlignment="1">
      <alignment horizontal="center" vertical="center" wrapText="1"/>
    </xf>
    <xf numFmtId="0" fontId="51" fillId="10" borderId="198" xfId="0" applyFont="1" applyFill="1" applyBorder="1" applyAlignment="1">
      <alignment horizontal="center" vertical="center" wrapText="1"/>
    </xf>
    <xf numFmtId="0" fontId="51" fillId="10" borderId="105" xfId="0" applyFont="1" applyFill="1" applyBorder="1" applyAlignment="1">
      <alignment horizontal="left" vertical="center"/>
    </xf>
    <xf numFmtId="0" fontId="59" fillId="10" borderId="161" xfId="0" applyFont="1" applyFill="1" applyBorder="1" applyAlignment="1">
      <alignment horizontal="center" vertical="center" wrapText="1"/>
    </xf>
    <xf numFmtId="0" fontId="59" fillId="10" borderId="171" xfId="0" applyFont="1" applyFill="1" applyBorder="1" applyAlignment="1">
      <alignment horizontal="center" vertical="center" wrapText="1"/>
    </xf>
    <xf numFmtId="0" fontId="59" fillId="10" borderId="93" xfId="0" applyFont="1" applyFill="1" applyBorder="1" applyAlignment="1">
      <alignment horizontal="center" vertical="center" wrapText="1"/>
    </xf>
    <xf numFmtId="0" fontId="54" fillId="10" borderId="161" xfId="0" applyFont="1" applyFill="1" applyBorder="1" applyAlignment="1">
      <alignment horizontal="center" vertical="center"/>
    </xf>
    <xf numFmtId="0" fontId="54" fillId="10" borderId="171" xfId="0" applyFont="1" applyFill="1" applyBorder="1" applyAlignment="1">
      <alignment horizontal="center" vertical="center"/>
    </xf>
    <xf numFmtId="0" fontId="54" fillId="10" borderId="93" xfId="0" applyFont="1" applyFill="1" applyBorder="1" applyAlignment="1">
      <alignment horizontal="center" vertical="center"/>
    </xf>
    <xf numFmtId="0" fontId="54" fillId="10" borderId="185" xfId="0" applyFont="1" applyFill="1" applyBorder="1" applyAlignment="1">
      <alignment horizontal="center" vertical="center"/>
    </xf>
    <xf numFmtId="0" fontId="54" fillId="10" borderId="136" xfId="0" applyFont="1" applyFill="1" applyBorder="1" applyAlignment="1">
      <alignment horizontal="center" vertical="center"/>
    </xf>
    <xf numFmtId="0" fontId="54" fillId="10" borderId="134" xfId="0" applyFont="1" applyFill="1" applyBorder="1" applyAlignment="1">
      <alignment horizontal="center" vertical="center"/>
    </xf>
    <xf numFmtId="0" fontId="42" fillId="2" borderId="129" xfId="0" applyFont="1" applyFill="1" applyBorder="1" applyAlignment="1">
      <alignment horizontal="left" vertical="center"/>
    </xf>
    <xf numFmtId="0" fontId="42" fillId="2" borderId="130" xfId="0" applyFont="1" applyFill="1" applyBorder="1" applyAlignment="1">
      <alignment horizontal="left" vertical="center"/>
    </xf>
    <xf numFmtId="0" fontId="42" fillId="2" borderId="131" xfId="0" applyFont="1" applyFill="1" applyBorder="1" applyAlignment="1">
      <alignment horizontal="left" vertical="center"/>
    </xf>
    <xf numFmtId="0" fontId="42" fillId="2" borderId="129" xfId="0" applyFont="1" applyFill="1" applyBorder="1" applyAlignment="1">
      <alignment horizontal="center" vertical="center"/>
    </xf>
    <xf numFmtId="0" fontId="82" fillId="2" borderId="158" xfId="0" applyFont="1" applyFill="1" applyBorder="1" applyAlignment="1">
      <alignment horizontal="center" vertical="center"/>
    </xf>
    <xf numFmtId="0" fontId="82" fillId="2" borderId="159" xfId="0" applyFont="1" applyFill="1" applyBorder="1" applyAlignment="1">
      <alignment horizontal="center" vertical="center"/>
    </xf>
    <xf numFmtId="0" fontId="82" fillId="2" borderId="160" xfId="0" applyFont="1" applyFill="1" applyBorder="1" applyAlignment="1">
      <alignment horizontal="center" vertical="center"/>
    </xf>
    <xf numFmtId="0" fontId="82" fillId="2" borderId="181" xfId="0" applyFont="1" applyFill="1" applyBorder="1" applyAlignment="1">
      <alignment horizontal="center" vertical="center"/>
    </xf>
    <xf numFmtId="0" fontId="82" fillId="2" borderId="182" xfId="0" applyFont="1" applyFill="1" applyBorder="1" applyAlignment="1">
      <alignment horizontal="center" vertical="center"/>
    </xf>
    <xf numFmtId="0" fontId="82" fillId="2" borderId="183" xfId="0" applyFont="1" applyFill="1" applyBorder="1" applyAlignment="1">
      <alignment horizontal="center" vertical="center"/>
    </xf>
    <xf numFmtId="0" fontId="82" fillId="2" borderId="129" xfId="0" applyFont="1" applyFill="1" applyBorder="1" applyAlignment="1">
      <alignment horizontal="center" vertical="center"/>
    </xf>
    <xf numFmtId="0" fontId="82" fillId="2" borderId="130" xfId="0" applyFont="1" applyFill="1" applyBorder="1" applyAlignment="1">
      <alignment horizontal="center" vertical="center"/>
    </xf>
    <xf numFmtId="0" fontId="82" fillId="2" borderId="131" xfId="0" applyFont="1" applyFill="1" applyBorder="1" applyAlignment="1">
      <alignment horizontal="center" vertical="center"/>
    </xf>
    <xf numFmtId="0" fontId="51" fillId="10" borderId="156" xfId="0" applyFont="1" applyFill="1" applyBorder="1" applyAlignment="1">
      <alignment horizontal="left" vertical="center"/>
    </xf>
    <xf numFmtId="0" fontId="51" fillId="10" borderId="186" xfId="0" applyFont="1" applyFill="1" applyBorder="1" applyAlignment="1">
      <alignment horizontal="left" vertical="center"/>
    </xf>
    <xf numFmtId="0" fontId="51" fillId="2" borderId="127" xfId="0" applyFont="1" applyFill="1" applyBorder="1" applyAlignment="1">
      <alignment horizontal="left" vertical="center"/>
    </xf>
    <xf numFmtId="0" fontId="51" fillId="10" borderId="87" xfId="0" applyFont="1" applyFill="1" applyBorder="1" applyAlignment="1">
      <alignment horizontal="center" vertical="center"/>
    </xf>
    <xf numFmtId="0" fontId="54" fillId="0" borderId="187" xfId="0" applyFont="1" applyBorder="1" applyAlignment="1">
      <alignment horizontal="center" vertical="center"/>
    </xf>
    <xf numFmtId="0" fontId="51" fillId="10" borderId="105" xfId="0" applyFont="1" applyFill="1" applyBorder="1" applyAlignment="1">
      <alignment horizontal="center" vertical="center"/>
    </xf>
    <xf numFmtId="10" fontId="42" fillId="0" borderId="105" xfId="0" applyNumberFormat="1" applyFont="1" applyBorder="1" applyAlignment="1">
      <alignment horizontal="center" vertical="center"/>
    </xf>
    <xf numFmtId="44" fontId="42" fillId="0" borderId="105" xfId="0" applyNumberFormat="1" applyFont="1" applyBorder="1" applyAlignment="1">
      <alignment horizontal="center" vertical="center"/>
    </xf>
    <xf numFmtId="0" fontId="2" fillId="10" borderId="0" xfId="0" applyFont="1" applyFill="1" applyAlignment="1">
      <alignment horizontal="center" vertical="center" wrapText="1"/>
    </xf>
    <xf numFmtId="174" fontId="2" fillId="10" borderId="35" xfId="0" applyNumberFormat="1" applyFont="1" applyFill="1" applyBorder="1" applyAlignment="1">
      <alignment horizontal="center" vertical="center"/>
    </xf>
    <xf numFmtId="174" fontId="2" fillId="0" borderId="0" xfId="0" applyNumberFormat="1" applyFont="1" applyAlignment="1">
      <alignment horizontal="center" vertical="center"/>
    </xf>
    <xf numFmtId="4" fontId="2" fillId="12" borderId="2" xfId="0" applyNumberFormat="1" applyFont="1" applyFill="1" applyBorder="1" applyAlignment="1">
      <alignment horizontal="center" vertical="center" wrapText="1"/>
    </xf>
    <xf numFmtId="174" fontId="2" fillId="10" borderId="2" xfId="0" applyNumberFormat="1" applyFont="1" applyFill="1" applyBorder="1" applyAlignment="1">
      <alignment horizontal="center" vertical="center" wrapText="1"/>
    </xf>
    <xf numFmtId="174" fontId="2" fillId="0" borderId="2" xfId="0" applyNumberFormat="1" applyFont="1" applyBorder="1" applyAlignment="1">
      <alignment horizontal="center" vertical="center"/>
    </xf>
    <xf numFmtId="174" fontId="2" fillId="2" borderId="2" xfId="0" applyNumberFormat="1" applyFont="1" applyFill="1" applyBorder="1" applyAlignment="1">
      <alignment horizontal="center" vertical="center"/>
    </xf>
    <xf numFmtId="0" fontId="2" fillId="12" borderId="2" xfId="0" applyFont="1" applyFill="1" applyBorder="1" applyAlignment="1">
      <alignment horizontal="center" vertical="center" wrapText="1"/>
    </xf>
    <xf numFmtId="0" fontId="2" fillId="10" borderId="2" xfId="0" applyFont="1" applyFill="1" applyBorder="1" applyAlignment="1">
      <alignment horizontal="center" vertical="center" wrapText="1"/>
    </xf>
    <xf numFmtId="174" fontId="2" fillId="10" borderId="2" xfId="2" applyNumberFormat="1" applyFont="1" applyFill="1" applyBorder="1" applyAlignment="1">
      <alignment horizontal="center" vertical="center" wrapText="1"/>
    </xf>
    <xf numFmtId="166" fontId="2" fillId="2" borderId="2" xfId="2" applyFont="1" applyFill="1" applyBorder="1" applyAlignment="1">
      <alignment horizontal="center" vertical="center" wrapText="1"/>
    </xf>
    <xf numFmtId="174" fontId="2" fillId="0" borderId="2" xfId="2" applyNumberFormat="1" applyFont="1" applyBorder="1" applyAlignment="1">
      <alignment horizontal="center" vertical="center"/>
    </xf>
    <xf numFmtId="3" fontId="2" fillId="0" borderId="0" xfId="0" applyNumberFormat="1" applyFont="1" applyAlignment="1">
      <alignment horizontal="center" vertical="center" wrapText="1"/>
    </xf>
    <xf numFmtId="174" fontId="2" fillId="12" borderId="2" xfId="0" applyNumberFormat="1" applyFont="1" applyFill="1" applyBorder="1" applyAlignment="1">
      <alignment horizontal="center" vertical="center" wrapText="1"/>
    </xf>
    <xf numFmtId="166" fontId="2" fillId="0" borderId="2" xfId="2" applyFont="1" applyBorder="1" applyAlignment="1">
      <alignment horizontal="center" vertical="center"/>
    </xf>
    <xf numFmtId="174" fontId="2" fillId="12" borderId="2" xfId="0" applyNumberFormat="1" applyFont="1" applyFill="1" applyBorder="1" applyAlignment="1">
      <alignment horizontal="center" vertical="center"/>
    </xf>
    <xf numFmtId="0" fontId="2" fillId="12" borderId="2" xfId="0" applyFont="1" applyFill="1" applyBorder="1" applyAlignment="1">
      <alignment horizontal="center" vertical="center"/>
    </xf>
    <xf numFmtId="166" fontId="2" fillId="2" borderId="2" xfId="0" applyNumberFormat="1" applyFont="1" applyFill="1" applyBorder="1" applyAlignment="1">
      <alignment horizontal="center" vertical="center"/>
    </xf>
    <xf numFmtId="0" fontId="2" fillId="0" borderId="0" xfId="0" applyFont="1" applyAlignment="1">
      <alignment horizontal="center" vertical="center"/>
    </xf>
    <xf numFmtId="174" fontId="2"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128" xfId="0" applyFont="1" applyBorder="1" applyAlignment="1">
      <alignment horizontal="center" vertical="center"/>
    </xf>
    <xf numFmtId="0" fontId="1" fillId="0" borderId="27" xfId="0" applyFont="1" applyBorder="1" applyAlignment="1">
      <alignment horizontal="center" vertical="center"/>
    </xf>
    <xf numFmtId="0" fontId="1" fillId="0" borderId="1" xfId="0" applyFont="1" applyBorder="1" applyAlignment="1">
      <alignment horizontal="center" vertical="center" wrapText="1"/>
    </xf>
    <xf numFmtId="0" fontId="19" fillId="0" borderId="2" xfId="0" applyFont="1" applyBorder="1" applyAlignment="1">
      <alignment horizontal="center" vertical="center"/>
    </xf>
    <xf numFmtId="0" fontId="2" fillId="10" borderId="21" xfId="0" applyFont="1" applyFill="1" applyBorder="1" applyAlignment="1">
      <alignment horizontal="center" vertical="center"/>
    </xf>
    <xf numFmtId="0" fontId="20" fillId="2" borderId="26" xfId="0" applyFont="1" applyFill="1" applyBorder="1" applyAlignment="1">
      <alignment horizontal="center" vertical="center"/>
    </xf>
    <xf numFmtId="0" fontId="2" fillId="10" borderId="5" xfId="0" applyFont="1" applyFill="1" applyBorder="1" applyAlignment="1">
      <alignment vertical="center"/>
    </xf>
    <xf numFmtId="0" fontId="19" fillId="2" borderId="6" xfId="0" applyFont="1" applyFill="1" applyBorder="1" applyAlignment="1">
      <alignment vertical="center"/>
    </xf>
    <xf numFmtId="0" fontId="19" fillId="0" borderId="6" xfId="0" applyFont="1" applyBorder="1" applyAlignment="1">
      <alignment horizontal="left" vertical="center"/>
    </xf>
    <xf numFmtId="164" fontId="19" fillId="0" borderId="6" xfId="0" applyNumberFormat="1" applyFont="1" applyBorder="1" applyAlignment="1">
      <alignment horizontal="center" vertical="center"/>
    </xf>
    <xf numFmtId="0" fontId="19" fillId="0" borderId="6" xfId="0" applyFont="1" applyBorder="1" applyAlignment="1">
      <alignment horizontal="center" vertical="center"/>
    </xf>
    <xf numFmtId="0" fontId="19" fillId="2" borderId="6" xfId="0" applyFont="1" applyFill="1" applyBorder="1" applyAlignment="1">
      <alignment vertical="center" wrapText="1"/>
    </xf>
    <xf numFmtId="0" fontId="19" fillId="2" borderId="27" xfId="0" applyFont="1" applyFill="1" applyBorder="1" applyAlignment="1">
      <alignment horizontal="left" vertical="center"/>
    </xf>
    <xf numFmtId="0" fontId="23" fillId="0" borderId="9" xfId="0" applyFont="1" applyBorder="1" applyAlignment="1">
      <alignment horizontal="right" vertical="center"/>
    </xf>
    <xf numFmtId="0" fontId="2" fillId="10" borderId="28" xfId="0" applyFont="1" applyFill="1" applyBorder="1" applyAlignment="1">
      <alignment vertical="center"/>
    </xf>
    <xf numFmtId="0" fontId="19" fillId="2" borderId="1" xfId="0" applyFont="1" applyFill="1" applyBorder="1" applyAlignment="1">
      <alignment horizontal="left" vertical="center"/>
    </xf>
    <xf numFmtId="0" fontId="2" fillId="10" borderId="17" xfId="0" applyFont="1" applyFill="1" applyBorder="1" applyAlignment="1">
      <alignment horizontal="left" vertical="center"/>
    </xf>
    <xf numFmtId="0" fontId="2" fillId="10" borderId="8" xfId="0" applyFont="1" applyFill="1" applyBorder="1" applyAlignment="1">
      <alignment horizontal="center" vertical="center"/>
    </xf>
    <xf numFmtId="165" fontId="25" fillId="0" borderId="2" xfId="0" applyNumberFormat="1" applyFont="1" applyBorder="1" applyAlignment="1">
      <alignment horizontal="center" vertical="center"/>
    </xf>
    <xf numFmtId="0" fontId="19" fillId="2" borderId="6" xfId="0" applyFont="1" applyFill="1" applyBorder="1" applyAlignment="1">
      <alignment horizontal="left" vertical="center"/>
    </xf>
    <xf numFmtId="0" fontId="2" fillId="0" borderId="29" xfId="0" applyFont="1" applyBorder="1" applyAlignment="1">
      <alignment horizontal="center" vertical="center"/>
    </xf>
    <xf numFmtId="0" fontId="2" fillId="10" borderId="30" xfId="0" applyFont="1" applyFill="1" applyBorder="1" applyAlignment="1">
      <alignment horizontal="center" vertical="center"/>
    </xf>
    <xf numFmtId="0" fontId="34" fillId="10" borderId="30" xfId="0" applyFont="1" applyFill="1" applyBorder="1" applyAlignment="1">
      <alignment horizontal="center" vertical="center"/>
    </xf>
    <xf numFmtId="0" fontId="19" fillId="0" borderId="1" xfId="0" applyFont="1" applyBorder="1" applyAlignment="1">
      <alignment horizontal="center" vertical="center"/>
    </xf>
    <xf numFmtId="0" fontId="2" fillId="10" borderId="1" xfId="0" applyFont="1" applyFill="1" applyBorder="1" applyAlignment="1">
      <alignment horizontal="center" vertical="center"/>
    </xf>
    <xf numFmtId="0" fontId="2" fillId="0" borderId="31" xfId="0" applyFont="1" applyBorder="1" applyAlignment="1">
      <alignment horizontal="center" vertical="center"/>
    </xf>
    <xf numFmtId="0" fontId="2" fillId="10" borderId="31" xfId="0" applyFont="1" applyFill="1" applyBorder="1" applyAlignment="1">
      <alignment horizontal="center" vertical="center"/>
    </xf>
    <xf numFmtId="0" fontId="19" fillId="2" borderId="2" xfId="0" applyFont="1" applyFill="1" applyBorder="1" applyAlignment="1">
      <alignment horizontal="left" vertical="center"/>
    </xf>
    <xf numFmtId="172" fontId="19" fillId="0" borderId="2" xfId="0" applyNumberFormat="1" applyFont="1" applyBorder="1" applyAlignment="1">
      <alignment horizontal="center" vertical="center"/>
    </xf>
    <xf numFmtId="0" fontId="19" fillId="0" borderId="1" xfId="0" applyFont="1" applyBorder="1" applyAlignment="1">
      <alignment horizontal="left" vertical="center"/>
    </xf>
    <xf numFmtId="0" fontId="34" fillId="0" borderId="2" xfId="0" applyFont="1" applyBorder="1" applyAlignment="1">
      <alignment horizontal="left" vertical="center"/>
    </xf>
    <xf numFmtId="0" fontId="19" fillId="0" borderId="2" xfId="0" applyFont="1" applyBorder="1" applyAlignment="1">
      <alignment horizontal="left" vertical="center"/>
    </xf>
    <xf numFmtId="0" fontId="2" fillId="10" borderId="2" xfId="0" applyFont="1" applyFill="1" applyBorder="1" applyAlignment="1">
      <alignment horizontal="center" vertical="center"/>
    </xf>
    <xf numFmtId="0" fontId="2" fillId="0" borderId="1" xfId="0" applyFont="1" applyBorder="1" applyAlignment="1">
      <alignment horizontal="center" vertical="center"/>
    </xf>
    <xf numFmtId="9" fontId="2" fillId="2" borderId="1" xfId="0" applyNumberFormat="1" applyFont="1" applyFill="1" applyBorder="1" applyAlignment="1">
      <alignment horizontal="center" vertical="center"/>
    </xf>
    <xf numFmtId="0" fontId="36" fillId="0" borderId="1" xfId="0" applyFont="1" applyBorder="1" applyAlignment="1">
      <alignment horizontal="center" vertical="center"/>
    </xf>
    <xf numFmtId="0" fontId="2" fillId="0" borderId="1" xfId="0" applyFont="1" applyBorder="1" applyAlignment="1">
      <alignment horizontal="left" vertical="center"/>
    </xf>
    <xf numFmtId="0" fontId="2" fillId="0" borderId="32" xfId="0" applyFont="1" applyBorder="1" applyAlignment="1">
      <alignment horizontal="center" vertical="center"/>
    </xf>
    <xf numFmtId="0" fontId="2" fillId="10" borderId="16" xfId="0" applyFont="1" applyFill="1" applyBorder="1" applyAlignment="1">
      <alignment horizontal="left" vertical="center"/>
    </xf>
    <xf numFmtId="0" fontId="19" fillId="0" borderId="10" xfId="0" applyFont="1" applyBorder="1" applyAlignment="1">
      <alignment vertical="center"/>
    </xf>
    <xf numFmtId="0" fontId="37" fillId="0" borderId="10" xfId="0" applyFont="1" applyBorder="1" applyAlignment="1">
      <alignment horizontal="center" vertical="center" wrapText="1"/>
    </xf>
    <xf numFmtId="0" fontId="37" fillId="0" borderId="6" xfId="0" applyFont="1" applyBorder="1" applyAlignment="1">
      <alignment horizontal="center" vertical="center" wrapText="1"/>
    </xf>
    <xf numFmtId="0" fontId="2" fillId="10" borderId="33" xfId="0" applyFont="1" applyFill="1" applyBorder="1" applyAlignment="1">
      <alignment horizontal="center" vertical="center"/>
    </xf>
    <xf numFmtId="0" fontId="2" fillId="10" borderId="5" xfId="0" applyFont="1" applyFill="1" applyBorder="1" applyAlignment="1">
      <alignment horizontal="left" vertical="center"/>
    </xf>
    <xf numFmtId="0" fontId="2" fillId="2" borderId="6" xfId="0" applyFont="1" applyFill="1" applyBorder="1" applyAlignment="1">
      <alignment horizontal="left" vertical="center"/>
    </xf>
    <xf numFmtId="0" fontId="2" fillId="0" borderId="33" xfId="0" applyFont="1" applyBorder="1" applyAlignment="1">
      <alignment horizontal="center" vertical="center"/>
    </xf>
    <xf numFmtId="0" fontId="2" fillId="10" borderId="5" xfId="0" applyFont="1" applyFill="1" applyBorder="1" applyAlignment="1">
      <alignment horizontal="center" vertical="center"/>
    </xf>
    <xf numFmtId="10" fontId="25" fillId="0" borderId="1" xfId="0" applyNumberFormat="1" applyFont="1" applyBorder="1" applyAlignment="1">
      <alignment horizontal="center" vertical="center"/>
    </xf>
    <xf numFmtId="165" fontId="25" fillId="0" borderId="9" xfId="0" applyNumberFormat="1" applyFont="1" applyBorder="1" applyAlignment="1">
      <alignment horizontal="center" vertical="center"/>
    </xf>
    <xf numFmtId="0" fontId="39" fillId="2" borderId="6" xfId="0" applyFont="1" applyFill="1" applyBorder="1" applyAlignment="1">
      <alignment vertical="center"/>
    </xf>
    <xf numFmtId="0" fontId="40" fillId="10" borderId="5" xfId="0" applyFont="1" applyFill="1" applyBorder="1" applyAlignment="1">
      <alignment horizontal="left" vertical="center" wrapText="1"/>
    </xf>
    <xf numFmtId="0" fontId="40" fillId="10" borderId="33" xfId="0" applyFont="1" applyFill="1" applyBorder="1" applyAlignment="1">
      <alignment horizontal="center" vertical="center"/>
    </xf>
    <xf numFmtId="0" fontId="2" fillId="10" borderId="34" xfId="0" applyFont="1" applyFill="1" applyBorder="1" applyAlignment="1">
      <alignment horizontal="center" vertical="center" wrapText="1"/>
    </xf>
    <xf numFmtId="0" fontId="2" fillId="10" borderId="19" xfId="0" applyFont="1" applyFill="1" applyBorder="1" applyAlignment="1">
      <alignment horizontal="center" vertical="center" wrapText="1"/>
    </xf>
    <xf numFmtId="0" fontId="40" fillId="10" borderId="34" xfId="0" applyFont="1" applyFill="1" applyBorder="1" applyAlignment="1">
      <alignment horizontal="left" vertical="center"/>
    </xf>
    <xf numFmtId="0" fontId="19" fillId="0" borderId="34" xfId="0" applyFont="1" applyBorder="1" applyAlignment="1">
      <alignment horizontal="center" vertical="center"/>
    </xf>
    <xf numFmtId="166" fontId="19" fillId="0" borderId="19" xfId="0" applyNumberFormat="1" applyFont="1" applyBorder="1" applyAlignment="1">
      <alignment horizontal="center" vertical="center"/>
    </xf>
    <xf numFmtId="171" fontId="19" fillId="0" borderId="19" xfId="0" applyNumberFormat="1" applyFont="1" applyBorder="1" applyAlignment="1">
      <alignment horizontal="center" vertical="center"/>
    </xf>
    <xf numFmtId="0" fontId="51" fillId="10" borderId="211" xfId="0" applyFont="1" applyFill="1" applyBorder="1" applyAlignment="1">
      <alignment horizontal="center" vertical="center"/>
    </xf>
    <xf numFmtId="0" fontId="51" fillId="10" borderId="63" xfId="0" applyFont="1" applyFill="1" applyBorder="1" applyAlignment="1">
      <alignment horizontal="center" vertical="center"/>
    </xf>
    <xf numFmtId="0" fontId="56" fillId="2" borderId="14" xfId="0" applyFont="1" applyFill="1" applyBorder="1" applyAlignment="1">
      <alignment horizontal="center" vertical="center"/>
    </xf>
    <xf numFmtId="0" fontId="56" fillId="2" borderId="2" xfId="0" applyFont="1" applyFill="1" applyBorder="1" applyAlignment="1">
      <alignment horizontal="center" vertical="center"/>
    </xf>
    <xf numFmtId="0" fontId="51" fillId="10" borderId="114" xfId="0" applyFont="1" applyFill="1" applyBorder="1" applyAlignment="1">
      <alignment vertical="center"/>
    </xf>
    <xf numFmtId="0" fontId="51" fillId="10" borderId="115" xfId="0" applyFont="1" applyFill="1" applyBorder="1" applyAlignment="1">
      <alignment vertical="center"/>
    </xf>
    <xf numFmtId="0" fontId="42" fillId="2" borderId="115" xfId="0" applyFont="1" applyFill="1" applyBorder="1" applyAlignment="1">
      <alignment vertical="center"/>
    </xf>
    <xf numFmtId="0" fontId="42" fillId="2" borderId="116" xfId="0" applyFont="1" applyFill="1" applyBorder="1" applyAlignment="1">
      <alignment vertical="center"/>
    </xf>
    <xf numFmtId="0" fontId="51" fillId="10" borderId="119" xfId="0" applyFont="1" applyFill="1" applyBorder="1" applyAlignment="1">
      <alignment vertical="center"/>
    </xf>
    <xf numFmtId="0" fontId="51" fillId="10" borderId="121" xfId="0" applyFont="1" applyFill="1" applyBorder="1" applyAlignment="1">
      <alignment vertical="center"/>
    </xf>
    <xf numFmtId="164" fontId="42" fillId="0" borderId="121" xfId="0" applyNumberFormat="1" applyFont="1" applyBorder="1" applyAlignment="1">
      <alignment horizontal="center" vertical="center"/>
    </xf>
    <xf numFmtId="178" fontId="42" fillId="0" borderId="121" xfId="0" applyNumberFormat="1" applyFont="1" applyBorder="1" applyAlignment="1">
      <alignment horizontal="center" vertical="center"/>
    </xf>
    <xf numFmtId="178" fontId="42" fillId="0" borderId="120" xfId="0" applyNumberFormat="1" applyFont="1" applyBorder="1" applyAlignment="1">
      <alignment horizontal="center" vertical="center"/>
    </xf>
    <xf numFmtId="0" fontId="42" fillId="2" borderId="27" xfId="0" applyFont="1" applyFill="1" applyBorder="1" applyAlignment="1">
      <alignment horizontal="left" vertical="center"/>
    </xf>
    <xf numFmtId="0" fontId="63" fillId="0" borderId="134" xfId="0" applyFont="1" applyBorder="1" applyAlignment="1">
      <alignment horizontal="center" vertical="center"/>
    </xf>
    <xf numFmtId="0" fontId="51" fillId="10" borderId="126" xfId="0" applyFont="1" applyFill="1" applyBorder="1" applyAlignment="1">
      <alignment vertical="center"/>
    </xf>
    <xf numFmtId="0" fontId="51" fillId="10" borderId="172" xfId="0" applyFont="1" applyFill="1" applyBorder="1" applyAlignment="1">
      <alignment vertical="center"/>
    </xf>
    <xf numFmtId="0" fontId="51" fillId="10" borderId="87" xfId="0" applyFont="1" applyFill="1" applyBorder="1" applyAlignment="1">
      <alignment vertical="center"/>
    </xf>
    <xf numFmtId="0" fontId="42" fillId="2" borderId="133" xfId="0" applyFont="1" applyFill="1" applyBorder="1" applyAlignment="1">
      <alignment horizontal="left" vertical="center"/>
    </xf>
    <xf numFmtId="0" fontId="63" fillId="0" borderId="105" xfId="0" applyFont="1" applyBorder="1" applyAlignment="1">
      <alignment horizontal="center" vertical="center"/>
    </xf>
    <xf numFmtId="0" fontId="63" fillId="0" borderId="6" xfId="0" applyFont="1" applyBorder="1" applyAlignment="1">
      <alignment horizontal="center" vertical="center"/>
    </xf>
    <xf numFmtId="0" fontId="63" fillId="0" borderId="9" xfId="0" applyFont="1" applyBorder="1" applyAlignment="1">
      <alignment horizontal="center" vertical="center"/>
    </xf>
    <xf numFmtId="1" fontId="64" fillId="0" borderId="6" xfId="0" applyNumberFormat="1" applyFont="1" applyBorder="1" applyAlignment="1">
      <alignment horizontal="center" vertical="center"/>
    </xf>
    <xf numFmtId="1" fontId="64" fillId="0" borderId="9" xfId="0" applyNumberFormat="1" applyFont="1" applyBorder="1" applyAlignment="1">
      <alignment horizontal="center" vertical="center"/>
    </xf>
    <xf numFmtId="0" fontId="42" fillId="2" borderId="121" xfId="0" applyFont="1" applyFill="1" applyBorder="1" applyAlignment="1">
      <alignment horizontal="left" vertical="center"/>
    </xf>
    <xf numFmtId="0" fontId="51" fillId="10" borderId="201" xfId="0" applyFont="1" applyFill="1" applyBorder="1" applyAlignment="1">
      <alignment horizontal="left" vertical="center"/>
    </xf>
    <xf numFmtId="0" fontId="51" fillId="10" borderId="200" xfId="0" applyFont="1" applyFill="1" applyBorder="1" applyAlignment="1">
      <alignment horizontal="left" vertical="center"/>
    </xf>
    <xf numFmtId="0" fontId="51" fillId="10" borderId="202" xfId="0" applyFont="1" applyFill="1" applyBorder="1" applyAlignment="1">
      <alignment horizontal="left" vertical="center"/>
    </xf>
    <xf numFmtId="0" fontId="42" fillId="2" borderId="115" xfId="0" applyFont="1" applyFill="1" applyBorder="1" applyAlignment="1">
      <alignment horizontal="left" vertical="center"/>
    </xf>
    <xf numFmtId="0" fontId="42" fillId="2" borderId="114" xfId="0" applyFont="1" applyFill="1" applyBorder="1" applyAlignment="1">
      <alignment horizontal="center" vertical="center"/>
    </xf>
    <xf numFmtId="0" fontId="42" fillId="2" borderId="115" xfId="0" applyFont="1" applyFill="1" applyBorder="1" applyAlignment="1">
      <alignment horizontal="center" vertical="center"/>
    </xf>
    <xf numFmtId="0" fontId="42" fillId="0" borderId="209" xfId="0" applyFont="1" applyBorder="1" applyAlignment="1">
      <alignment horizontal="left" vertical="center"/>
    </xf>
    <xf numFmtId="0" fontId="42" fillId="0" borderId="210" xfId="0" applyFont="1" applyBorder="1" applyAlignment="1">
      <alignment horizontal="left" vertical="center"/>
    </xf>
    <xf numFmtId="0" fontId="42" fillId="2" borderId="204" xfId="0" applyFont="1" applyFill="1" applyBorder="1" applyAlignment="1">
      <alignment horizontal="left" vertical="center"/>
    </xf>
    <xf numFmtId="0" fontId="42" fillId="2" borderId="205" xfId="0" applyFont="1" applyFill="1" applyBorder="1" applyAlignment="1">
      <alignment horizontal="left" vertical="center"/>
    </xf>
    <xf numFmtId="0" fontId="42" fillId="2" borderId="206" xfId="0" applyFont="1" applyFill="1" applyBorder="1" applyAlignment="1">
      <alignment horizontal="left" vertical="center"/>
    </xf>
    <xf numFmtId="0" fontId="42" fillId="0" borderId="115" xfId="0" applyFont="1" applyBorder="1" applyAlignment="1">
      <alignment horizontal="left" vertical="center"/>
    </xf>
    <xf numFmtId="0" fontId="42" fillId="0" borderId="121" xfId="0" applyFont="1" applyBorder="1" applyAlignment="1">
      <alignment horizontal="left" vertical="center"/>
    </xf>
    <xf numFmtId="0" fontId="54" fillId="10" borderId="61" xfId="0" applyFont="1" applyFill="1" applyBorder="1" applyAlignment="1">
      <alignment horizontal="center" vertical="center"/>
    </xf>
    <xf numFmtId="0" fontId="54" fillId="10" borderId="62" xfId="0" applyFont="1" applyFill="1" applyBorder="1" applyAlignment="1">
      <alignment horizontal="center" vertical="center"/>
    </xf>
    <xf numFmtId="0" fontId="54" fillId="10" borderId="63" xfId="0" applyFont="1" applyFill="1" applyBorder="1" applyAlignment="1">
      <alignment horizontal="center" vertical="center"/>
    </xf>
    <xf numFmtId="0" fontId="42" fillId="0" borderId="115" xfId="0" applyFont="1" applyBorder="1" applyAlignment="1">
      <alignment horizontal="center" vertical="center"/>
    </xf>
    <xf numFmtId="9" fontId="42" fillId="5" borderId="115" xfId="0" applyNumberFormat="1" applyFont="1" applyFill="1" applyBorder="1" applyAlignment="1" applyProtection="1">
      <alignment horizontal="center" vertical="center"/>
      <protection locked="0"/>
    </xf>
    <xf numFmtId="0" fontId="51" fillId="10" borderId="132" xfId="0" applyFont="1" applyFill="1" applyBorder="1" applyAlignment="1">
      <alignment horizontal="center" vertical="center"/>
    </xf>
    <xf numFmtId="0" fontId="42" fillId="0" borderId="105" xfId="0" applyFont="1" applyBorder="1" applyAlignment="1">
      <alignment vertical="center"/>
    </xf>
    <xf numFmtId="0" fontId="54" fillId="10" borderId="105" xfId="0" applyFont="1" applyFill="1" applyBorder="1" applyAlignment="1">
      <alignment horizontal="center" vertical="center"/>
    </xf>
    <xf numFmtId="0" fontId="42" fillId="0" borderId="215" xfId="0" applyFont="1" applyBorder="1" applyAlignment="1">
      <alignment horizontal="center" vertical="center"/>
    </xf>
    <xf numFmtId="0" fontId="42" fillId="0" borderId="216" xfId="0" applyFont="1" applyBorder="1" applyAlignment="1">
      <alignment horizontal="center" vertical="center"/>
    </xf>
    <xf numFmtId="166" fontId="42" fillId="0" borderId="217" xfId="0" applyNumberFormat="1" applyFont="1" applyBorder="1" applyAlignment="1">
      <alignment horizontal="center" vertical="center"/>
    </xf>
    <xf numFmtId="171" fontId="42" fillId="0" borderId="217"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 fillId="0" borderId="2" xfId="0" applyFont="1" applyBorder="1" applyAlignment="1">
      <alignment horizontal="center" vertical="center"/>
    </xf>
    <xf numFmtId="0" fontId="42" fillId="10" borderId="1" xfId="0" applyFont="1" applyFill="1" applyBorder="1" applyAlignment="1">
      <alignment horizontal="center" vertical="center" wrapText="1"/>
    </xf>
    <xf numFmtId="0" fontId="8" fillId="0" borderId="105" xfId="0" applyFont="1" applyBorder="1" applyAlignment="1">
      <alignment horizontal="center" vertical="center" wrapText="1"/>
    </xf>
    <xf numFmtId="0" fontId="20" fillId="2" borderId="2" xfId="0" applyFont="1" applyFill="1" applyBorder="1" applyAlignment="1">
      <alignment horizontal="center" vertical="center"/>
    </xf>
    <xf numFmtId="0" fontId="23" fillId="0" borderId="9" xfId="0" applyFont="1" applyBorder="1" applyAlignment="1">
      <alignment horizontal="center" vertical="center"/>
    </xf>
    <xf numFmtId="0" fontId="2" fillId="10" borderId="30" xfId="0" applyFont="1" applyFill="1" applyBorder="1" applyAlignment="1">
      <alignment horizontal="left" vertical="center"/>
    </xf>
    <xf numFmtId="0" fontId="31" fillId="10" borderId="30" xfId="0" applyFont="1" applyFill="1" applyBorder="1" applyAlignment="1">
      <alignment horizontal="left" vertical="center"/>
    </xf>
    <xf numFmtId="0" fontId="2" fillId="10" borderId="31" xfId="0" applyFont="1" applyFill="1" applyBorder="1" applyAlignment="1">
      <alignment horizontal="left" vertical="center"/>
    </xf>
    <xf numFmtId="9" fontId="2" fillId="0" borderId="1" xfId="0" applyNumberFormat="1" applyFont="1" applyBorder="1" applyAlignment="1">
      <alignment horizontal="center" vertical="center"/>
    </xf>
    <xf numFmtId="0" fontId="2" fillId="0" borderId="2" xfId="0" applyFont="1" applyBorder="1" applyAlignment="1">
      <alignment horizontal="left" vertical="center"/>
    </xf>
    <xf numFmtId="0" fontId="2" fillId="2" borderId="2" xfId="0" applyFont="1" applyFill="1" applyBorder="1" applyAlignment="1">
      <alignment horizontal="left" vertical="center"/>
    </xf>
    <xf numFmtId="0" fontId="2" fillId="0" borderId="10" xfId="0" applyFont="1" applyBorder="1" applyAlignment="1">
      <alignment vertical="center"/>
    </xf>
    <xf numFmtId="0" fontId="40" fillId="0" borderId="0" xfId="0" applyFont="1" applyAlignment="1">
      <alignment horizontal="left" vertical="center"/>
    </xf>
    <xf numFmtId="165" fontId="1" fillId="0" borderId="105" xfId="0" applyNumberFormat="1" applyFont="1" applyBorder="1" applyAlignment="1">
      <alignment horizontal="center" vertical="center"/>
    </xf>
    <xf numFmtId="165" fontId="1" fillId="0" borderId="121" xfId="0" applyNumberFormat="1" applyFont="1" applyBorder="1" applyAlignment="1">
      <alignment horizontal="center" vertical="center"/>
    </xf>
    <xf numFmtId="0" fontId="43" fillId="18" borderId="61" xfId="0" applyFont="1" applyFill="1" applyBorder="1" applyAlignment="1">
      <alignment horizontal="center" vertical="center" wrapText="1"/>
    </xf>
    <xf numFmtId="0" fontId="43" fillId="18" borderId="62" xfId="0" applyFont="1" applyFill="1" applyBorder="1" applyAlignment="1">
      <alignment horizontal="center" vertical="center" wrapText="1"/>
    </xf>
    <xf numFmtId="0" fontId="43" fillId="27" borderId="126" xfId="0" applyFont="1" applyFill="1" applyBorder="1" applyAlignment="1">
      <alignment horizontal="center" vertical="center"/>
    </xf>
    <xf numFmtId="0" fontId="43" fillId="27" borderId="172" xfId="0" applyFont="1" applyFill="1" applyBorder="1" applyAlignment="1">
      <alignment horizontal="center" vertical="center"/>
    </xf>
    <xf numFmtId="0" fontId="43" fillId="27" borderId="87" xfId="0" applyFont="1" applyFill="1" applyBorder="1" applyAlignment="1">
      <alignment horizontal="center" vertical="center"/>
    </xf>
    <xf numFmtId="0" fontId="43" fillId="0" borderId="114" xfId="0" applyFont="1" applyBorder="1" applyAlignment="1">
      <alignment horizontal="center" vertical="center"/>
    </xf>
    <xf numFmtId="0" fontId="43" fillId="0" borderId="115" xfId="0" applyFont="1" applyBorder="1" applyAlignment="1">
      <alignment horizontal="center" vertical="center"/>
    </xf>
    <xf numFmtId="0" fontId="43" fillId="28" borderId="85" xfId="0" applyFont="1" applyFill="1" applyBorder="1" applyAlignment="1">
      <alignment horizontal="center" vertical="center"/>
    </xf>
    <xf numFmtId="0" fontId="43" fillId="28" borderId="86" xfId="0" applyFont="1" applyFill="1" applyBorder="1" applyAlignment="1">
      <alignment horizontal="center" vertical="center"/>
    </xf>
    <xf numFmtId="0" fontId="43" fillId="28" borderId="155" xfId="0" applyFont="1" applyFill="1" applyBorder="1" applyAlignment="1">
      <alignment horizontal="center" vertical="center"/>
    </xf>
    <xf numFmtId="0" fontId="43" fillId="27" borderId="61" xfId="0" applyFont="1" applyFill="1" applyBorder="1" applyAlignment="1">
      <alignment horizontal="center" vertical="center"/>
    </xf>
    <xf numFmtId="0" fontId="43" fillId="27" borderId="62" xfId="0" applyFont="1" applyFill="1" applyBorder="1" applyAlignment="1">
      <alignment horizontal="center" vertical="center"/>
    </xf>
    <xf numFmtId="0" fontId="43" fillId="27" borderId="63" xfId="0" applyFont="1" applyFill="1" applyBorder="1" applyAlignment="1">
      <alignment horizontal="center" vertical="center"/>
    </xf>
    <xf numFmtId="0" fontId="1" fillId="0" borderId="114" xfId="0" applyFont="1" applyBorder="1" applyAlignment="1">
      <alignment horizontal="center" vertical="center"/>
    </xf>
    <xf numFmtId="0" fontId="1" fillId="0" borderId="115" xfId="0" applyFont="1" applyBorder="1" applyAlignment="1">
      <alignment horizontal="center" vertical="center"/>
    </xf>
    <xf numFmtId="0" fontId="1" fillId="0" borderId="109" xfId="0" applyFont="1" applyBorder="1" applyAlignment="1">
      <alignment horizontal="center" vertical="center"/>
    </xf>
    <xf numFmtId="0" fontId="1" fillId="0" borderId="105" xfId="0" applyFont="1" applyBorder="1" applyAlignment="1">
      <alignment horizontal="center" vertical="center"/>
    </xf>
    <xf numFmtId="0" fontId="1" fillId="0" borderId="115" xfId="0" applyFont="1" applyBorder="1" applyAlignment="1">
      <alignment horizontal="center" vertical="center" wrapText="1"/>
    </xf>
    <xf numFmtId="0" fontId="1" fillId="0" borderId="105" xfId="0" applyFont="1" applyBorder="1" applyAlignment="1">
      <alignment horizontal="center" vertical="center" wrapText="1"/>
    </xf>
    <xf numFmtId="174" fontId="1" fillId="0" borderId="116" xfId="0" applyNumberFormat="1" applyFont="1" applyBorder="1" applyAlignment="1">
      <alignment horizontal="center" vertical="center" wrapText="1"/>
    </xf>
    <xf numFmtId="174" fontId="1" fillId="0" borderId="110" xfId="0" applyNumberFormat="1" applyFont="1" applyBorder="1" applyAlignment="1">
      <alignment horizontal="center" vertical="center" wrapText="1"/>
    </xf>
    <xf numFmtId="0" fontId="43" fillId="0" borderId="109" xfId="0" applyFont="1" applyBorder="1" applyAlignment="1">
      <alignment horizontal="center" vertical="center" wrapText="1"/>
    </xf>
    <xf numFmtId="0" fontId="43" fillId="0" borderId="105" xfId="0" applyFont="1" applyBorder="1" applyAlignment="1">
      <alignment horizontal="center" vertical="center" wrapText="1"/>
    </xf>
    <xf numFmtId="0" fontId="43" fillId="0" borderId="111" xfId="0" applyFont="1" applyBorder="1" applyAlignment="1">
      <alignment horizontal="center" vertical="center" wrapText="1"/>
    </xf>
    <xf numFmtId="0" fontId="43" fillId="0" borderId="112" xfId="0" applyFont="1" applyBorder="1" applyAlignment="1">
      <alignment horizontal="center" vertical="center" wrapText="1"/>
    </xf>
    <xf numFmtId="0" fontId="43" fillId="0" borderId="29" xfId="0" applyFont="1" applyBorder="1" applyAlignment="1">
      <alignment horizontal="center" vertical="center"/>
    </xf>
    <xf numFmtId="0" fontId="43" fillId="27" borderId="85" xfId="0" applyFont="1" applyFill="1" applyBorder="1" applyAlignment="1">
      <alignment horizontal="center" vertical="center"/>
    </xf>
    <xf numFmtId="0" fontId="43" fillId="27" borderId="86" xfId="0" applyFont="1" applyFill="1" applyBorder="1" applyAlignment="1">
      <alignment horizontal="center" vertical="center"/>
    </xf>
    <xf numFmtId="0" fontId="43" fillId="27" borderId="155" xfId="0" applyFont="1" applyFill="1" applyBorder="1" applyAlignment="1">
      <alignment horizontal="center" vertical="center"/>
    </xf>
    <xf numFmtId="0" fontId="13" fillId="13" borderId="114" xfId="0" applyFont="1" applyFill="1" applyBorder="1" applyAlignment="1" applyProtection="1">
      <alignment horizontal="left" vertical="center" wrapText="1"/>
      <protection hidden="1"/>
    </xf>
    <xf numFmtId="0" fontId="5" fillId="13" borderId="115" xfId="0" applyFont="1" applyFill="1" applyBorder="1" applyAlignment="1" applyProtection="1">
      <alignment horizontal="left" vertical="center" wrapText="1"/>
      <protection hidden="1"/>
    </xf>
    <xf numFmtId="0" fontId="43"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119" xfId="0" applyFont="1" applyBorder="1" applyAlignment="1">
      <alignment horizontal="center" vertical="center"/>
    </xf>
    <xf numFmtId="0" fontId="43" fillId="0" borderId="121" xfId="0" applyFont="1" applyBorder="1" applyAlignment="1">
      <alignment horizontal="center" vertical="center"/>
    </xf>
    <xf numFmtId="0" fontId="43" fillId="0" borderId="116" xfId="0" applyFont="1" applyBorder="1" applyAlignment="1">
      <alignment horizontal="center" vertical="center"/>
    </xf>
    <xf numFmtId="0" fontId="43" fillId="18" borderId="61" xfId="0" applyFont="1" applyFill="1" applyBorder="1" applyAlignment="1">
      <alignment horizontal="center" vertical="center"/>
    </xf>
    <xf numFmtId="0" fontId="43" fillId="18" borderId="62" xfId="0" applyFont="1" applyFill="1" applyBorder="1" applyAlignment="1">
      <alignment horizontal="center" vertical="center"/>
    </xf>
    <xf numFmtId="0" fontId="46" fillId="0" borderId="29" xfId="0" applyFont="1" applyBorder="1" applyAlignment="1">
      <alignment horizontal="center" vertical="center"/>
    </xf>
    <xf numFmtId="0" fontId="1" fillId="0" borderId="114" xfId="0" applyFont="1" applyBorder="1" applyAlignment="1">
      <alignment horizontal="center" vertical="center" wrapText="1"/>
    </xf>
    <xf numFmtId="0" fontId="1" fillId="0" borderId="119" xfId="0" applyFont="1" applyBorder="1" applyAlignment="1">
      <alignment horizontal="center" vertical="center" wrapText="1"/>
    </xf>
    <xf numFmtId="0" fontId="1" fillId="0" borderId="121" xfId="0" applyFont="1" applyBorder="1" applyAlignment="1">
      <alignment horizontal="center" vertical="center" wrapText="1"/>
    </xf>
    <xf numFmtId="174" fontId="1" fillId="0" borderId="120" xfId="0" applyNumberFormat="1" applyFont="1" applyBorder="1" applyAlignment="1">
      <alignment horizontal="center" vertical="center" wrapText="1"/>
    </xf>
    <xf numFmtId="165" fontId="1" fillId="0" borderId="61" xfId="0" applyNumberFormat="1" applyFont="1" applyBorder="1" applyAlignment="1">
      <alignment horizontal="center" vertical="center"/>
    </xf>
    <xf numFmtId="165" fontId="1" fillId="0" borderId="62" xfId="0" applyNumberFormat="1" applyFont="1" applyBorder="1" applyAlignment="1">
      <alignment horizontal="center" vertical="center"/>
    </xf>
    <xf numFmtId="10" fontId="1" fillId="2" borderId="62" xfId="0" applyNumberFormat="1" applyFont="1" applyFill="1" applyBorder="1" applyAlignment="1">
      <alignment horizontal="center" vertical="center" wrapText="1"/>
    </xf>
    <xf numFmtId="0" fontId="1" fillId="0" borderId="29" xfId="0" applyFont="1" applyBorder="1" applyAlignment="1">
      <alignment horizontal="center" vertical="center"/>
    </xf>
    <xf numFmtId="0" fontId="43" fillId="0" borderId="61" xfId="0" applyFont="1" applyBorder="1" applyAlignment="1">
      <alignment horizontal="center" vertical="center"/>
    </xf>
    <xf numFmtId="0" fontId="43" fillId="0" borderId="62" xfId="0" applyFont="1" applyBorder="1" applyAlignment="1">
      <alignment horizontal="center" vertical="center"/>
    </xf>
    <xf numFmtId="0" fontId="43" fillId="0" borderId="63" xfId="0" applyFont="1" applyBorder="1" applyAlignment="1">
      <alignment horizontal="center" vertical="center"/>
    </xf>
    <xf numFmtId="0" fontId="43" fillId="27" borderId="137" xfId="0" applyFont="1" applyFill="1" applyBorder="1" applyAlignment="1">
      <alignment horizontal="center" vertical="center"/>
    </xf>
    <xf numFmtId="0" fontId="43" fillId="27" borderId="138" xfId="0" applyFont="1" applyFill="1" applyBorder="1" applyAlignment="1">
      <alignment horizontal="center" vertical="center"/>
    </xf>
    <xf numFmtId="0" fontId="43" fillId="27" borderId="139" xfId="0" applyFont="1" applyFill="1" applyBorder="1" applyAlignment="1">
      <alignment horizontal="center" vertical="center"/>
    </xf>
    <xf numFmtId="0" fontId="45" fillId="0" borderId="111" xfId="0" applyFont="1" applyBorder="1" applyAlignment="1">
      <alignment horizontal="center" vertical="center" wrapText="1"/>
    </xf>
    <xf numFmtId="0" fontId="45" fillId="0" borderId="112" xfId="0" applyFont="1" applyBorder="1" applyAlignment="1">
      <alignment horizontal="center" vertical="center" wrapText="1"/>
    </xf>
    <xf numFmtId="44" fontId="43" fillId="0" borderId="37" xfId="0" applyNumberFormat="1" applyFont="1" applyBorder="1" applyAlignment="1">
      <alignment horizontal="center" vertical="center"/>
    </xf>
    <xf numFmtId="0" fontId="43" fillId="18" borderId="36" xfId="0" applyFont="1" applyFill="1" applyBorder="1" applyAlignment="1">
      <alignment horizontal="center" vertical="center"/>
    </xf>
    <xf numFmtId="0" fontId="1" fillId="0" borderId="0" xfId="0" applyFont="1" applyAlignment="1">
      <alignment horizontal="center" vertical="center"/>
    </xf>
    <xf numFmtId="0" fontId="43" fillId="29" borderId="61" xfId="0" applyFont="1" applyFill="1" applyBorder="1" applyAlignment="1">
      <alignment horizontal="center" vertical="center"/>
    </xf>
    <xf numFmtId="0" fontId="43" fillId="29" borderId="62" xfId="0" applyFont="1" applyFill="1" applyBorder="1" applyAlignment="1">
      <alignment horizontal="center" vertical="center"/>
    </xf>
    <xf numFmtId="0" fontId="43" fillId="29" borderId="63" xfId="0" applyFont="1" applyFill="1" applyBorder="1" applyAlignment="1">
      <alignment horizontal="center" vertical="center"/>
    </xf>
    <xf numFmtId="0" fontId="8" fillId="29" borderId="137" xfId="0" applyFont="1" applyFill="1" applyBorder="1" applyAlignment="1">
      <alignment horizontal="center" vertical="center"/>
    </xf>
    <xf numFmtId="0" fontId="8" fillId="29" borderId="138" xfId="0" applyFont="1" applyFill="1" applyBorder="1" applyAlignment="1">
      <alignment horizontal="center" vertical="center"/>
    </xf>
    <xf numFmtId="0" fontId="8" fillId="29" borderId="139" xfId="0" applyFont="1" applyFill="1" applyBorder="1" applyAlignment="1">
      <alignment horizontal="center" vertical="center"/>
    </xf>
    <xf numFmtId="0" fontId="8" fillId="29" borderId="111" xfId="0" applyFont="1" applyFill="1" applyBorder="1" applyAlignment="1">
      <alignment horizontal="center" vertical="center"/>
    </xf>
    <xf numFmtId="0" fontId="8" fillId="29" borderId="112" xfId="0" applyFont="1" applyFill="1" applyBorder="1" applyAlignment="1">
      <alignment horizontal="center" vertical="center"/>
    </xf>
    <xf numFmtId="0" fontId="8" fillId="29" borderId="113" xfId="0" applyFont="1" applyFill="1" applyBorder="1" applyAlignment="1">
      <alignment horizontal="center" vertical="center"/>
    </xf>
    <xf numFmtId="0" fontId="1" fillId="16" borderId="114" xfId="0" applyFont="1" applyFill="1" applyBorder="1" applyAlignment="1">
      <alignment horizontal="center" vertical="center"/>
    </xf>
    <xf numFmtId="0" fontId="1" fillId="16" borderId="115" xfId="0" applyFont="1" applyFill="1" applyBorder="1" applyAlignment="1">
      <alignment horizontal="center" vertical="center"/>
    </xf>
    <xf numFmtId="0" fontId="1" fillId="16" borderId="116" xfId="0" applyFont="1" applyFill="1" applyBorder="1" applyAlignment="1">
      <alignment horizontal="center" vertical="center"/>
    </xf>
    <xf numFmtId="0" fontId="43" fillId="16" borderId="105" xfId="0" applyFont="1" applyFill="1" applyBorder="1" applyAlignment="1">
      <alignment horizontal="center" vertical="center"/>
    </xf>
    <xf numFmtId="0" fontId="47" fillId="16" borderId="112" xfId="0" applyFont="1" applyFill="1" applyBorder="1" applyAlignment="1">
      <alignment horizontal="center" vertical="center" wrapText="1"/>
    </xf>
    <xf numFmtId="0" fontId="42" fillId="0" borderId="121" xfId="0" applyFont="1" applyBorder="1" applyAlignment="1">
      <alignment vertical="center"/>
    </xf>
    <xf numFmtId="165" fontId="51" fillId="17" borderId="121" xfId="0" applyNumberFormat="1" applyFont="1" applyFill="1" applyBorder="1" applyAlignment="1">
      <alignment vertical="center"/>
    </xf>
    <xf numFmtId="0" fontId="42" fillId="5" borderId="105" xfId="0" applyFont="1" applyFill="1" applyBorder="1" applyAlignment="1" applyProtection="1">
      <alignment vertical="center" wrapText="1"/>
      <protection locked="0"/>
    </xf>
    <xf numFmtId="0" fontId="42" fillId="5" borderId="105" xfId="0" applyFont="1" applyFill="1" applyBorder="1" applyAlignment="1" applyProtection="1">
      <alignment vertical="center"/>
      <protection locked="0"/>
    </xf>
    <xf numFmtId="0" fontId="42" fillId="0" borderId="105" xfId="0" applyFont="1" applyBorder="1" applyAlignment="1">
      <alignment horizontal="right" vertical="center"/>
    </xf>
    <xf numFmtId="0" fontId="19" fillId="5" borderId="0" xfId="0" applyFont="1" applyFill="1" applyAlignment="1" applyProtection="1">
      <alignment horizontal="center" vertical="center"/>
      <protection locked="0"/>
    </xf>
    <xf numFmtId="0" fontId="42" fillId="0" borderId="0" xfId="0" applyFont="1" applyAlignment="1">
      <alignment vertical="center"/>
    </xf>
    <xf numFmtId="0" fontId="42" fillId="5" borderId="0" xfId="0" applyFont="1" applyFill="1" applyAlignment="1" applyProtection="1">
      <alignment horizontal="center" vertical="center"/>
      <protection locked="0"/>
    </xf>
    <xf numFmtId="0" fontId="19" fillId="2" borderId="0" xfId="0" applyFont="1" applyFill="1" applyAlignment="1">
      <alignment horizontal="center" vertical="center"/>
    </xf>
  </cellXfs>
  <cellStyles count="5">
    <cellStyle name="Excel Built-in Normal" xfId="1" xr:uid="{00000000-0005-0000-0000-000000000000}"/>
    <cellStyle name="Moeda" xfId="2" builtinId="4"/>
    <cellStyle name="Normal" xfId="0" builtinId="0"/>
    <cellStyle name="Normal_Ferramentas e Insumos Diversos" xfId="3" xr:uid="{00000000-0005-0000-0000-000003000000}"/>
    <cellStyle name="Porcentagem" xfId="4"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E0021"/>
      <rgbColor rgb="00008000"/>
      <rgbColor rgb="00000080"/>
      <rgbColor rgb="00808000"/>
      <rgbColor rgb="00800080"/>
      <rgbColor rgb="00006B6B"/>
      <rgbColor rgb="00CCCCCC"/>
      <rgbColor rgb="00808080"/>
      <rgbColor rgb="0083CAFF"/>
      <rgbColor rgb="00993366"/>
      <rgbColor rgb="00EEEEEE"/>
      <rgbColor rgb="00CCFFFF"/>
      <rgbColor rgb="00660066"/>
      <rgbColor rgb="00FF8080"/>
      <rgbColor rgb="000084D1"/>
      <rgbColor rgb="00DDDDDD"/>
      <rgbColor rgb="00000080"/>
      <rgbColor rgb="00FF00FF"/>
      <rgbColor rgb="00FFFF00"/>
      <rgbColor rgb="0000FFFF"/>
      <rgbColor rgb="00800080"/>
      <rgbColor rgb="00800000"/>
      <rgbColor rgb="00008080"/>
      <rgbColor rgb="000000FF"/>
      <rgbColor rgb="0000CCFF"/>
      <rgbColor rgb="00E6E6FF"/>
      <rgbColor rgb="00E6E6E6"/>
      <rgbColor rgb="00FFFF66"/>
      <rgbColor rgb="0099CCFF"/>
      <rgbColor rgb="00FF99CC"/>
      <rgbColor rgb="00CC99FF"/>
      <rgbColor rgb="0099FFFF"/>
      <rgbColor rgb="003366FF"/>
      <rgbColor rgb="0066CCFF"/>
      <rgbColor rgb="0099CC00"/>
      <rgbColor rgb="00FFCC00"/>
      <rgbColor rgb="00FF9900"/>
      <rgbColor rgb="00FF3300"/>
      <rgbColor rgb="00666666"/>
      <rgbColor rgb="00999999"/>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43"/>
  <sheetViews>
    <sheetView showGridLines="0" tabSelected="1" topLeftCell="A103" zoomScaleNormal="100" workbookViewId="0">
      <selection activeCell="M118" sqref="M118"/>
    </sheetView>
  </sheetViews>
  <sheetFormatPr defaultColWidth="11.44140625" defaultRowHeight="13.2" x14ac:dyDescent="0.25"/>
  <sheetData>
    <row r="1" spans="1:13" ht="13.8" x14ac:dyDescent="0.25">
      <c r="A1" s="547" t="s">
        <v>0</v>
      </c>
      <c r="B1" s="547"/>
      <c r="C1" s="547"/>
      <c r="D1" s="548" t="s">
        <v>1</v>
      </c>
      <c r="E1" s="548"/>
      <c r="F1" s="548"/>
      <c r="G1" s="548"/>
      <c r="H1" s="548"/>
      <c r="I1" s="548"/>
      <c r="J1" s="185"/>
      <c r="K1" s="185"/>
      <c r="L1" s="185"/>
      <c r="M1" s="185"/>
    </row>
    <row r="2" spans="1:13" ht="13.8" x14ac:dyDescent="0.25">
      <c r="A2" s="549" t="s">
        <v>2</v>
      </c>
      <c r="B2" s="549"/>
      <c r="C2" s="549"/>
      <c r="D2" s="550" t="s">
        <v>458</v>
      </c>
      <c r="E2" s="550"/>
      <c r="F2" s="550"/>
      <c r="G2" s="550"/>
      <c r="H2" s="550"/>
      <c r="I2" s="550"/>
      <c r="J2" s="185"/>
      <c r="K2" s="185"/>
      <c r="L2" s="185"/>
      <c r="M2" s="185"/>
    </row>
    <row r="3" spans="1:13" ht="13.8" x14ac:dyDescent="0.25">
      <c r="A3" s="549" t="s">
        <v>3</v>
      </c>
      <c r="B3" s="549"/>
      <c r="C3" s="549"/>
      <c r="D3" s="550" t="s">
        <v>457</v>
      </c>
      <c r="E3" s="550"/>
      <c r="F3" s="550"/>
      <c r="G3" s="550"/>
      <c r="H3" s="550"/>
      <c r="I3" s="550"/>
      <c r="J3" s="185"/>
      <c r="K3" s="185"/>
      <c r="L3" s="185"/>
      <c r="M3" s="185"/>
    </row>
    <row r="4" spans="1:13" ht="13.8" x14ac:dyDescent="0.25">
      <c r="A4" s="549" t="s">
        <v>4</v>
      </c>
      <c r="B4" s="549"/>
      <c r="C4" s="549"/>
      <c r="D4" s="551" t="s">
        <v>447</v>
      </c>
      <c r="E4" s="551"/>
      <c r="F4" s="551"/>
      <c r="G4" s="186" t="s">
        <v>5</v>
      </c>
      <c r="H4" s="552">
        <v>0.375</v>
      </c>
      <c r="I4" s="552"/>
      <c r="J4" s="185"/>
      <c r="K4" s="185"/>
      <c r="L4" s="185"/>
      <c r="M4" s="185"/>
    </row>
    <row r="5" spans="1:13" ht="13.8" x14ac:dyDescent="0.25">
      <c r="A5" s="549" t="s">
        <v>6</v>
      </c>
      <c r="B5" s="549"/>
      <c r="C5" s="553"/>
      <c r="D5" s="554"/>
      <c r="E5" s="554"/>
      <c r="F5" s="554"/>
      <c r="G5" s="185"/>
      <c r="H5" s="185"/>
      <c r="I5" s="185"/>
      <c r="J5" s="185"/>
      <c r="K5" s="185"/>
      <c r="L5" s="185"/>
      <c r="M5" s="185"/>
    </row>
    <row r="6" spans="1:13" ht="13.8" x14ac:dyDescent="0.25">
      <c r="A6" s="549" t="s">
        <v>7</v>
      </c>
      <c r="B6" s="549"/>
      <c r="C6" s="553"/>
      <c r="D6" s="555" t="s">
        <v>454</v>
      </c>
      <c r="E6" s="555"/>
      <c r="F6" s="555"/>
      <c r="G6" s="185"/>
      <c r="H6" s="185"/>
      <c r="I6" s="185"/>
      <c r="J6" s="185"/>
      <c r="K6" s="185"/>
      <c r="L6" s="185"/>
      <c r="M6" s="185"/>
    </row>
    <row r="7" spans="1:13" ht="13.8" x14ac:dyDescent="0.25">
      <c r="A7" s="549" t="s">
        <v>8</v>
      </c>
      <c r="B7" s="549"/>
      <c r="C7" s="553"/>
      <c r="D7" s="555">
        <v>12</v>
      </c>
      <c r="E7" s="555"/>
      <c r="F7" s="555"/>
      <c r="G7" s="185"/>
      <c r="H7" s="185"/>
      <c r="I7" s="185"/>
      <c r="J7" s="185"/>
      <c r="K7" s="185"/>
      <c r="L7" s="185"/>
      <c r="M7" s="185"/>
    </row>
    <row r="8" spans="1:13" ht="13.8" x14ac:dyDescent="0.25">
      <c r="A8" s="549" t="s">
        <v>9</v>
      </c>
      <c r="B8" s="549"/>
      <c r="C8" s="553"/>
      <c r="D8" s="556">
        <v>1320</v>
      </c>
      <c r="E8" s="556"/>
      <c r="F8" s="556"/>
      <c r="G8" s="185"/>
      <c r="H8" s="185"/>
      <c r="I8" s="185"/>
      <c r="J8" s="185"/>
      <c r="K8" s="185"/>
      <c r="L8" s="185"/>
      <c r="M8" s="185"/>
    </row>
    <row r="9" spans="1:13" ht="13.8" x14ac:dyDescent="0.25">
      <c r="A9" s="185"/>
      <c r="B9" s="185"/>
      <c r="C9" s="185"/>
      <c r="D9" s="185"/>
      <c r="E9" s="185"/>
      <c r="F9" s="185"/>
      <c r="G9" s="185"/>
      <c r="H9" s="185"/>
      <c r="I9" s="185"/>
      <c r="J9" s="185"/>
      <c r="K9" s="185"/>
      <c r="L9" s="185"/>
      <c r="M9" s="185"/>
    </row>
    <row r="10" spans="1:13" ht="13.8" x14ac:dyDescent="0.25">
      <c r="A10" s="557" t="s">
        <v>10</v>
      </c>
      <c r="B10" s="557"/>
      <c r="C10" s="558"/>
      <c r="D10" s="559" t="s">
        <v>11</v>
      </c>
      <c r="E10" s="559"/>
      <c r="F10" s="559"/>
      <c r="G10" s="559"/>
      <c r="H10" s="559"/>
      <c r="I10" s="559"/>
      <c r="J10" s="559"/>
      <c r="K10" s="559"/>
      <c r="L10" s="559"/>
      <c r="M10" s="559"/>
    </row>
    <row r="11" spans="1:13" ht="13.8" thickBot="1" x14ac:dyDescent="0.3">
      <c r="A11" s="1"/>
      <c r="B11" s="1"/>
      <c r="C11" s="1"/>
      <c r="D11" s="1"/>
      <c r="E11" s="1"/>
      <c r="F11" s="1"/>
      <c r="G11" s="1"/>
      <c r="H11" s="1"/>
      <c r="I11" s="1"/>
      <c r="J11" s="1"/>
      <c r="K11" s="1"/>
      <c r="L11" s="1"/>
      <c r="M11" s="1"/>
    </row>
    <row r="12" spans="1:13" ht="51" customHeight="1" x14ac:dyDescent="0.25">
      <c r="A12" s="560" t="s">
        <v>424</v>
      </c>
      <c r="B12" s="561"/>
      <c r="C12" s="561"/>
      <c r="D12" s="561"/>
      <c r="E12" s="561"/>
      <c r="F12" s="561"/>
      <c r="G12" s="561"/>
      <c r="H12" s="561" t="s">
        <v>12</v>
      </c>
      <c r="I12" s="561"/>
      <c r="J12" s="564" t="s">
        <v>433</v>
      </c>
      <c r="K12" s="561"/>
      <c r="L12" s="561"/>
      <c r="M12" s="565"/>
    </row>
    <row r="13" spans="1:13" ht="27" customHeight="1" thickBot="1" x14ac:dyDescent="0.3">
      <c r="A13" s="562"/>
      <c r="B13" s="563"/>
      <c r="C13" s="563"/>
      <c r="D13" s="563"/>
      <c r="E13" s="563"/>
      <c r="F13" s="563"/>
      <c r="G13" s="563"/>
      <c r="H13" s="228" t="s">
        <v>13</v>
      </c>
      <c r="I13" s="228" t="s">
        <v>431</v>
      </c>
      <c r="J13" s="228" t="s">
        <v>14</v>
      </c>
      <c r="K13" s="228" t="s">
        <v>15</v>
      </c>
      <c r="L13" s="228" t="s">
        <v>16</v>
      </c>
      <c r="M13" s="229" t="s">
        <v>17</v>
      </c>
    </row>
    <row r="14" spans="1:13" ht="27" customHeight="1" x14ac:dyDescent="0.25">
      <c r="A14" s="568" t="s">
        <v>440</v>
      </c>
      <c r="B14" s="569"/>
      <c r="C14" s="569"/>
      <c r="D14" s="569"/>
      <c r="E14" s="569"/>
      <c r="F14" s="569"/>
      <c r="G14" s="570"/>
      <c r="H14" s="378" t="s">
        <v>432</v>
      </c>
      <c r="I14" s="378" t="s">
        <v>432</v>
      </c>
      <c r="J14" s="378" t="s">
        <v>434</v>
      </c>
      <c r="K14" s="378" t="s">
        <v>435</v>
      </c>
      <c r="L14" s="378" t="s">
        <v>436</v>
      </c>
      <c r="M14" s="378" t="s">
        <v>437</v>
      </c>
    </row>
    <row r="15" spans="1:13" ht="27" customHeight="1" x14ac:dyDescent="0.25">
      <c r="A15" s="571" t="s">
        <v>18</v>
      </c>
      <c r="B15" s="572"/>
      <c r="C15" s="572"/>
      <c r="D15" s="572"/>
      <c r="E15" s="572"/>
      <c r="F15" s="572"/>
      <c r="G15" s="573"/>
      <c r="H15" s="379" t="s">
        <v>19</v>
      </c>
      <c r="I15" s="379" t="s">
        <v>20</v>
      </c>
      <c r="J15" s="380" t="s">
        <v>21</v>
      </c>
      <c r="K15" s="380" t="s">
        <v>22</v>
      </c>
      <c r="L15" s="380" t="s">
        <v>23</v>
      </c>
      <c r="M15" s="381" t="s">
        <v>24</v>
      </c>
    </row>
    <row r="16" spans="1:13" ht="27" customHeight="1" x14ac:dyDescent="0.25">
      <c r="A16" s="580" t="s">
        <v>25</v>
      </c>
      <c r="B16" s="581"/>
      <c r="C16" s="581"/>
      <c r="D16" s="581"/>
      <c r="E16" s="581"/>
      <c r="F16" s="581"/>
      <c r="G16" s="582"/>
      <c r="H16" s="379">
        <v>2405.06</v>
      </c>
      <c r="I16" s="379">
        <v>1997.04</v>
      </c>
      <c r="J16" s="379">
        <v>113.41</v>
      </c>
      <c r="K16" s="379">
        <v>113.78</v>
      </c>
      <c r="L16" s="379">
        <v>31.75</v>
      </c>
      <c r="M16" s="382">
        <v>36.479999999999997</v>
      </c>
    </row>
    <row r="17" spans="1:13" ht="27" customHeight="1" x14ac:dyDescent="0.25">
      <c r="A17" s="574" t="s">
        <v>26</v>
      </c>
      <c r="B17" s="575"/>
      <c r="C17" s="575"/>
      <c r="D17" s="575"/>
      <c r="E17" s="575"/>
      <c r="F17" s="575"/>
      <c r="G17" s="576"/>
      <c r="H17" s="380" t="s">
        <v>13</v>
      </c>
      <c r="I17" s="380" t="s">
        <v>431</v>
      </c>
      <c r="J17" s="380" t="s">
        <v>14</v>
      </c>
      <c r="K17" s="380" t="s">
        <v>15</v>
      </c>
      <c r="L17" s="380" t="s">
        <v>16</v>
      </c>
      <c r="M17" s="381" t="s">
        <v>17</v>
      </c>
    </row>
    <row r="18" spans="1:13" ht="27" customHeight="1" x14ac:dyDescent="0.25">
      <c r="A18" s="577" t="s">
        <v>27</v>
      </c>
      <c r="B18" s="578"/>
      <c r="C18" s="578"/>
      <c r="D18" s="578"/>
      <c r="E18" s="578"/>
      <c r="F18" s="578"/>
      <c r="G18" s="579"/>
      <c r="H18" s="379" t="s">
        <v>28</v>
      </c>
      <c r="I18" s="379" t="s">
        <v>28</v>
      </c>
      <c r="J18" s="380" t="s">
        <v>438</v>
      </c>
      <c r="K18" s="380" t="s">
        <v>438</v>
      </c>
      <c r="L18" s="380" t="s">
        <v>438</v>
      </c>
      <c r="M18" s="381" t="s">
        <v>438</v>
      </c>
    </row>
    <row r="19" spans="1:13" ht="27" customHeight="1" x14ac:dyDescent="0.25">
      <c r="A19" s="571" t="s">
        <v>29</v>
      </c>
      <c r="B19" s="572"/>
      <c r="C19" s="572"/>
      <c r="D19" s="572"/>
      <c r="E19" s="572"/>
      <c r="F19" s="572"/>
      <c r="G19" s="573"/>
      <c r="H19" s="379">
        <v>2405.06</v>
      </c>
      <c r="I19" s="379">
        <v>1997.04</v>
      </c>
      <c r="J19" s="380">
        <v>113.41</v>
      </c>
      <c r="K19" s="380">
        <v>113.78</v>
      </c>
      <c r="L19" s="380">
        <v>31.75</v>
      </c>
      <c r="M19" s="381">
        <v>36.479999999999997</v>
      </c>
    </row>
    <row r="20" spans="1:13" ht="27" customHeight="1" thickBot="1" x14ac:dyDescent="0.3">
      <c r="A20" s="566" t="s">
        <v>30</v>
      </c>
      <c r="B20" s="567"/>
      <c r="C20" s="567"/>
      <c r="D20" s="567"/>
      <c r="E20" s="567"/>
      <c r="F20" s="567"/>
      <c r="G20" s="567"/>
      <c r="H20" s="383">
        <v>0.3</v>
      </c>
      <c r="I20" s="383">
        <v>0.3</v>
      </c>
      <c r="J20" s="384">
        <v>0</v>
      </c>
      <c r="K20" s="384">
        <v>0</v>
      </c>
      <c r="L20" s="384">
        <v>0</v>
      </c>
      <c r="M20" s="385">
        <v>0</v>
      </c>
    </row>
    <row r="21" spans="1:13" ht="15.6" customHeight="1" x14ac:dyDescent="0.25">
      <c r="A21" s="1"/>
      <c r="B21" s="1"/>
      <c r="C21" s="1"/>
      <c r="D21" s="1"/>
      <c r="E21" s="1"/>
      <c r="F21" s="1"/>
      <c r="G21" s="1"/>
      <c r="H21" s="1"/>
      <c r="I21" s="1"/>
      <c r="J21" s="1"/>
      <c r="K21" s="1"/>
      <c r="L21" s="1"/>
      <c r="M21" s="1"/>
    </row>
    <row r="22" spans="1:13" ht="15.6" customHeight="1" thickBot="1" x14ac:dyDescent="0.3">
      <c r="A22" s="1"/>
      <c r="B22" s="1"/>
      <c r="C22" s="1"/>
      <c r="D22" s="1"/>
      <c r="E22" s="1"/>
      <c r="F22" s="1"/>
      <c r="G22" s="1"/>
      <c r="H22" s="1"/>
      <c r="I22" s="1"/>
      <c r="J22" s="1"/>
      <c r="K22" s="1"/>
      <c r="L22" s="1"/>
      <c r="M22" s="1"/>
    </row>
    <row r="23" spans="1:13" ht="28.8" customHeight="1" thickBot="1" x14ac:dyDescent="0.3">
      <c r="A23" s="583" t="s">
        <v>439</v>
      </c>
      <c r="B23" s="584"/>
      <c r="C23" s="584"/>
      <c r="D23" s="584"/>
      <c r="E23" s="584"/>
      <c r="F23" s="584"/>
      <c r="G23" s="584"/>
      <c r="H23" s="226" t="str">
        <f t="shared" ref="H23:M23" si="0">H13</f>
        <v>Oficial Manutenção</v>
      </c>
      <c r="I23" s="226" t="str">
        <f t="shared" si="0"/>
        <v>Auxiliar Manutenção</v>
      </c>
      <c r="J23" s="226" t="str">
        <f t="shared" si="0"/>
        <v>Eng. Civil</v>
      </c>
      <c r="K23" s="226" t="str">
        <f t="shared" si="0"/>
        <v>Eng. Eletricista</v>
      </c>
      <c r="L23" s="226" t="str">
        <f t="shared" si="0"/>
        <v>Pedreiro</v>
      </c>
      <c r="M23" s="227" t="str">
        <f t="shared" si="0"/>
        <v>Pintor</v>
      </c>
    </row>
    <row r="24" spans="1:13" ht="18" customHeight="1" x14ac:dyDescent="0.25">
      <c r="A24" s="585" t="s">
        <v>426</v>
      </c>
      <c r="B24" s="586"/>
      <c r="C24" s="586"/>
      <c r="D24" s="586"/>
      <c r="E24" s="586"/>
      <c r="F24" s="586"/>
      <c r="G24" s="586"/>
      <c r="H24" s="386">
        <f>ROUNDDOWN(IF((H25*H26*21.726)-H27&gt;0,(H25*H26*21.726)-H27,0),2)</f>
        <v>94.68</v>
      </c>
      <c r="I24" s="386">
        <f t="shared" ref="I24:M24" si="1">ROUNDDOWN(IF((I25*I26*21.726)-I27&gt;0,(I25*I26*21.726)-I27,0),2)</f>
        <v>119.16</v>
      </c>
      <c r="J24" s="386">
        <f t="shared" si="1"/>
        <v>0</v>
      </c>
      <c r="K24" s="386">
        <f t="shared" si="1"/>
        <v>0</v>
      </c>
      <c r="L24" s="386">
        <f t="shared" si="1"/>
        <v>0</v>
      </c>
      <c r="M24" s="387">
        <f t="shared" si="1"/>
        <v>0</v>
      </c>
    </row>
    <row r="25" spans="1:13" ht="15" customHeight="1" x14ac:dyDescent="0.25">
      <c r="A25" s="587" t="s">
        <v>31</v>
      </c>
      <c r="B25" s="588"/>
      <c r="C25" s="588"/>
      <c r="D25" s="588"/>
      <c r="E25" s="588"/>
      <c r="F25" s="218"/>
      <c r="G25" s="218"/>
      <c r="H25" s="388">
        <v>2</v>
      </c>
      <c r="I25" s="388">
        <v>2</v>
      </c>
      <c r="J25" s="389">
        <v>0</v>
      </c>
      <c r="K25" s="389">
        <v>0</v>
      </c>
      <c r="L25" s="389">
        <v>0</v>
      </c>
      <c r="M25" s="390">
        <v>0</v>
      </c>
    </row>
    <row r="26" spans="1:13" ht="15" customHeight="1" x14ac:dyDescent="0.25">
      <c r="A26" s="589" t="s">
        <v>32</v>
      </c>
      <c r="B26" s="590"/>
      <c r="C26" s="590"/>
      <c r="D26" s="590"/>
      <c r="E26" s="590"/>
      <c r="F26" s="219">
        <v>5.5</v>
      </c>
      <c r="G26" s="220"/>
      <c r="H26" s="391">
        <f>F26</f>
        <v>5.5</v>
      </c>
      <c r="I26" s="391">
        <f>F26</f>
        <v>5.5</v>
      </c>
      <c r="J26" s="392">
        <f>F26</f>
        <v>5.5</v>
      </c>
      <c r="K26" s="392">
        <f>F26</f>
        <v>5.5</v>
      </c>
      <c r="L26" s="392">
        <f>H26</f>
        <v>5.5</v>
      </c>
      <c r="M26" s="393">
        <f>I26</f>
        <v>5.5</v>
      </c>
    </row>
    <row r="27" spans="1:13" ht="14.7" customHeight="1" thickBot="1" x14ac:dyDescent="0.3">
      <c r="A27" s="591" t="s">
        <v>425</v>
      </c>
      <c r="B27" s="592"/>
      <c r="C27" s="592"/>
      <c r="D27" s="592"/>
      <c r="E27" s="592"/>
      <c r="F27" s="222"/>
      <c r="G27" s="223"/>
      <c r="H27" s="394">
        <f t="shared" ref="H27:M27" si="2">H19*0.06</f>
        <v>144.30359999999999</v>
      </c>
      <c r="I27" s="394">
        <f t="shared" si="2"/>
        <v>119.82239999999999</v>
      </c>
      <c r="J27" s="394">
        <f t="shared" si="2"/>
        <v>6.8045999999999998</v>
      </c>
      <c r="K27" s="394">
        <f t="shared" si="2"/>
        <v>6.8267999999999995</v>
      </c>
      <c r="L27" s="394">
        <f t="shared" si="2"/>
        <v>1.905</v>
      </c>
      <c r="M27" s="395">
        <f t="shared" si="2"/>
        <v>2.1887999999999996</v>
      </c>
    </row>
    <row r="28" spans="1:13" ht="18" customHeight="1" x14ac:dyDescent="0.25">
      <c r="A28" s="596" t="s">
        <v>254</v>
      </c>
      <c r="B28" s="597"/>
      <c r="C28" s="597"/>
      <c r="D28" s="597"/>
      <c r="E28" s="597"/>
      <c r="F28" s="597"/>
      <c r="G28" s="597"/>
      <c r="H28" s="593">
        <f t="shared" ref="H28:M28" si="3">IF(H25&lt;&gt;0,$F29-$F30,0)</f>
        <v>9.48</v>
      </c>
      <c r="I28" s="593">
        <f t="shared" si="3"/>
        <v>9.48</v>
      </c>
      <c r="J28" s="593">
        <f t="shared" si="3"/>
        <v>0</v>
      </c>
      <c r="K28" s="593">
        <f t="shared" si="3"/>
        <v>0</v>
      </c>
      <c r="L28" s="593">
        <f t="shared" si="3"/>
        <v>0</v>
      </c>
      <c r="M28" s="598">
        <f t="shared" si="3"/>
        <v>0</v>
      </c>
    </row>
    <row r="29" spans="1:13" ht="14.7" customHeight="1" x14ac:dyDescent="0.25">
      <c r="A29" s="589" t="s">
        <v>33</v>
      </c>
      <c r="B29" s="590"/>
      <c r="C29" s="590"/>
      <c r="D29" s="590"/>
      <c r="E29" s="590"/>
      <c r="F29" s="260">
        <v>9.48</v>
      </c>
      <c r="G29" s="220"/>
      <c r="H29" s="594"/>
      <c r="I29" s="594"/>
      <c r="J29" s="594"/>
      <c r="K29" s="594"/>
      <c r="L29" s="594"/>
      <c r="M29" s="599"/>
    </row>
    <row r="30" spans="1:13" ht="14.7" customHeight="1" thickBot="1" x14ac:dyDescent="0.3">
      <c r="A30" s="591" t="s">
        <v>34</v>
      </c>
      <c r="B30" s="592"/>
      <c r="C30" s="592"/>
      <c r="D30" s="592"/>
      <c r="E30" s="592"/>
      <c r="F30" s="261">
        <v>0</v>
      </c>
      <c r="G30" s="223"/>
      <c r="H30" s="595"/>
      <c r="I30" s="595"/>
      <c r="J30" s="595"/>
      <c r="K30" s="595"/>
      <c r="L30" s="595"/>
      <c r="M30" s="600"/>
    </row>
    <row r="31" spans="1:13" ht="18" customHeight="1" x14ac:dyDescent="0.25">
      <c r="A31" s="601" t="s">
        <v>427</v>
      </c>
      <c r="B31" s="602"/>
      <c r="C31" s="602"/>
      <c r="D31" s="602"/>
      <c r="E31" s="602"/>
      <c r="F31" s="602"/>
      <c r="G31" s="603"/>
      <c r="H31" s="593">
        <f>IF(H25&lt;&gt;0,($F32*21.726)-$F33,0)</f>
        <v>595.04255099999989</v>
      </c>
      <c r="I31" s="593">
        <f t="shared" ref="I31:M31" si="4">IF(I25&lt;&gt;0,($F32*21.726)-$F33,0)</f>
        <v>595.04255099999989</v>
      </c>
      <c r="J31" s="593">
        <f t="shared" si="4"/>
        <v>0</v>
      </c>
      <c r="K31" s="593">
        <f t="shared" si="4"/>
        <v>0</v>
      </c>
      <c r="L31" s="593">
        <f t="shared" si="4"/>
        <v>0</v>
      </c>
      <c r="M31" s="598">
        <f t="shared" si="4"/>
        <v>0</v>
      </c>
    </row>
    <row r="32" spans="1:13" ht="14.7" customHeight="1" x14ac:dyDescent="0.25">
      <c r="A32" s="589" t="s">
        <v>35</v>
      </c>
      <c r="B32" s="590"/>
      <c r="C32" s="590"/>
      <c r="D32" s="590"/>
      <c r="E32" s="590"/>
      <c r="F32" s="219">
        <v>28.83</v>
      </c>
      <c r="G32" s="220"/>
      <c r="H32" s="594"/>
      <c r="I32" s="594"/>
      <c r="J32" s="594"/>
      <c r="K32" s="594"/>
      <c r="L32" s="594"/>
      <c r="M32" s="599"/>
    </row>
    <row r="33" spans="1:13" ht="14.7" customHeight="1" thickBot="1" x14ac:dyDescent="0.3">
      <c r="A33" s="604" t="s">
        <v>36</v>
      </c>
      <c r="B33" s="605"/>
      <c r="C33" s="605"/>
      <c r="D33" s="605"/>
      <c r="E33" s="606"/>
      <c r="F33" s="225">
        <f>(F32*21.726)*0.05</f>
        <v>31.318028999999996</v>
      </c>
      <c r="G33" s="223"/>
      <c r="H33" s="595"/>
      <c r="I33" s="595"/>
      <c r="J33" s="595"/>
      <c r="K33" s="595"/>
      <c r="L33" s="595"/>
      <c r="M33" s="600"/>
    </row>
    <row r="34" spans="1:13" ht="18" customHeight="1" x14ac:dyDescent="0.25">
      <c r="A34" s="601" t="s">
        <v>428</v>
      </c>
      <c r="B34" s="602"/>
      <c r="C34" s="602"/>
      <c r="D34" s="602"/>
      <c r="E34" s="602"/>
      <c r="F34" s="602"/>
      <c r="G34" s="603"/>
      <c r="H34" s="593">
        <f t="shared" ref="H34:M34" si="5">IF(H25&lt;&gt;0,$F35-$F36,0)</f>
        <v>0</v>
      </c>
      <c r="I34" s="593">
        <f t="shared" si="5"/>
        <v>0</v>
      </c>
      <c r="J34" s="593">
        <f t="shared" si="5"/>
        <v>0</v>
      </c>
      <c r="K34" s="593">
        <f t="shared" si="5"/>
        <v>0</v>
      </c>
      <c r="L34" s="593">
        <f t="shared" si="5"/>
        <v>0</v>
      </c>
      <c r="M34" s="598">
        <f t="shared" si="5"/>
        <v>0</v>
      </c>
    </row>
    <row r="35" spans="1:13" ht="14.7" customHeight="1" x14ac:dyDescent="0.25">
      <c r="A35" s="589" t="s">
        <v>33</v>
      </c>
      <c r="B35" s="590"/>
      <c r="C35" s="590"/>
      <c r="D35" s="590"/>
      <c r="E35" s="590"/>
      <c r="F35" s="219">
        <v>0</v>
      </c>
      <c r="G35" s="220"/>
      <c r="H35" s="594"/>
      <c r="I35" s="594"/>
      <c r="J35" s="594"/>
      <c r="K35" s="594"/>
      <c r="L35" s="594"/>
      <c r="M35" s="599"/>
    </row>
    <row r="36" spans="1:13" ht="14.7" customHeight="1" thickBot="1" x14ac:dyDescent="0.3">
      <c r="A36" s="591" t="s">
        <v>34</v>
      </c>
      <c r="B36" s="592"/>
      <c r="C36" s="592"/>
      <c r="D36" s="592"/>
      <c r="E36" s="592"/>
      <c r="F36" s="225">
        <v>0</v>
      </c>
      <c r="G36" s="223"/>
      <c r="H36" s="595"/>
      <c r="I36" s="595"/>
      <c r="J36" s="595"/>
      <c r="K36" s="595"/>
      <c r="L36" s="595"/>
      <c r="M36" s="600"/>
    </row>
    <row r="37" spans="1:13" ht="18" customHeight="1" x14ac:dyDescent="0.25">
      <c r="A37" s="617" t="s">
        <v>441</v>
      </c>
      <c r="B37" s="618"/>
      <c r="C37" s="618"/>
      <c r="D37" s="618"/>
      <c r="E37" s="618"/>
      <c r="F37" s="618"/>
      <c r="G37" s="618"/>
      <c r="H37" s="607">
        <f>IF(H25&lt;&gt;0,$F38-$F39,0)</f>
        <v>388.92999999999995</v>
      </c>
      <c r="I37" s="607">
        <f t="shared" ref="I37:M37" si="6">IF(I25&lt;&gt;0,$F38-$F39,0)</f>
        <v>388.92999999999995</v>
      </c>
      <c r="J37" s="607">
        <f t="shared" si="6"/>
        <v>0</v>
      </c>
      <c r="K37" s="607">
        <f t="shared" si="6"/>
        <v>0</v>
      </c>
      <c r="L37" s="607">
        <f t="shared" si="6"/>
        <v>0</v>
      </c>
      <c r="M37" s="610">
        <f t="shared" si="6"/>
        <v>0</v>
      </c>
    </row>
    <row r="38" spans="1:13" ht="14.7" customHeight="1" x14ac:dyDescent="0.25">
      <c r="A38" s="613" t="s">
        <v>33</v>
      </c>
      <c r="B38" s="614"/>
      <c r="C38" s="614"/>
      <c r="D38" s="614"/>
      <c r="E38" s="614"/>
      <c r="F38" s="266">
        <v>409.4</v>
      </c>
      <c r="G38" s="267"/>
      <c r="H38" s="608"/>
      <c r="I38" s="608"/>
      <c r="J38" s="608"/>
      <c r="K38" s="608"/>
      <c r="L38" s="608"/>
      <c r="M38" s="611"/>
    </row>
    <row r="39" spans="1:13" ht="14.7" customHeight="1" thickBot="1" x14ac:dyDescent="0.3">
      <c r="A39" s="615" t="s">
        <v>34</v>
      </c>
      <c r="B39" s="616"/>
      <c r="C39" s="616"/>
      <c r="D39" s="616"/>
      <c r="E39" s="616"/>
      <c r="F39" s="268">
        <f>F38*0.05</f>
        <v>20.47</v>
      </c>
      <c r="G39" s="269"/>
      <c r="H39" s="609"/>
      <c r="I39" s="609"/>
      <c r="J39" s="609"/>
      <c r="K39" s="609"/>
      <c r="L39" s="609"/>
      <c r="M39" s="612"/>
    </row>
    <row r="40" spans="1:13" ht="18" customHeight="1" x14ac:dyDescent="0.25">
      <c r="A40" s="596" t="s">
        <v>429</v>
      </c>
      <c r="B40" s="619"/>
      <c r="C40" s="619"/>
      <c r="D40" s="619"/>
      <c r="E40" s="619"/>
      <c r="F40" s="619"/>
      <c r="G40" s="619"/>
      <c r="H40" s="593">
        <f t="shared" ref="H40:M40" si="7">IF(H25&lt;&gt;0,$F41-$F42,0)</f>
        <v>0</v>
      </c>
      <c r="I40" s="593">
        <f t="shared" si="7"/>
        <v>0</v>
      </c>
      <c r="J40" s="593">
        <f t="shared" si="7"/>
        <v>0</v>
      </c>
      <c r="K40" s="593">
        <f t="shared" si="7"/>
        <v>0</v>
      </c>
      <c r="L40" s="593">
        <f t="shared" si="7"/>
        <v>0</v>
      </c>
      <c r="M40" s="598">
        <f t="shared" si="7"/>
        <v>0</v>
      </c>
    </row>
    <row r="41" spans="1:13" ht="14.7" customHeight="1" x14ac:dyDescent="0.25">
      <c r="A41" s="589" t="s">
        <v>33</v>
      </c>
      <c r="B41" s="590"/>
      <c r="C41" s="590"/>
      <c r="D41" s="590"/>
      <c r="E41" s="590"/>
      <c r="F41" s="219">
        <v>0</v>
      </c>
      <c r="G41" s="220"/>
      <c r="H41" s="594"/>
      <c r="I41" s="594"/>
      <c r="J41" s="594"/>
      <c r="K41" s="594"/>
      <c r="L41" s="594"/>
      <c r="M41" s="599"/>
    </row>
    <row r="42" spans="1:13" ht="14.7" customHeight="1" thickBot="1" x14ac:dyDescent="0.3">
      <c r="A42" s="591" t="s">
        <v>34</v>
      </c>
      <c r="B42" s="592"/>
      <c r="C42" s="592"/>
      <c r="D42" s="592"/>
      <c r="E42" s="592"/>
      <c r="F42" s="225">
        <v>0</v>
      </c>
      <c r="G42" s="223"/>
      <c r="H42" s="595"/>
      <c r="I42" s="595"/>
      <c r="J42" s="595"/>
      <c r="K42" s="595"/>
      <c r="L42" s="595"/>
      <c r="M42" s="600"/>
    </row>
    <row r="43" spans="1:13" ht="18" customHeight="1" x14ac:dyDescent="0.25">
      <c r="A43" s="596" t="s">
        <v>430</v>
      </c>
      <c r="B43" s="620"/>
      <c r="C43" s="620"/>
      <c r="D43" s="620"/>
      <c r="E43" s="620"/>
      <c r="F43" s="620"/>
      <c r="G43" s="620"/>
      <c r="H43" s="593">
        <f t="shared" ref="H43:M43" si="8">IF(H25&lt;&gt;0,$F44-$F45,0)</f>
        <v>0</v>
      </c>
      <c r="I43" s="593">
        <f t="shared" si="8"/>
        <v>0</v>
      </c>
      <c r="J43" s="593">
        <f t="shared" si="8"/>
        <v>0</v>
      </c>
      <c r="K43" s="593">
        <f t="shared" si="8"/>
        <v>0</v>
      </c>
      <c r="L43" s="593">
        <f t="shared" si="8"/>
        <v>0</v>
      </c>
      <c r="M43" s="598">
        <f t="shared" si="8"/>
        <v>0</v>
      </c>
    </row>
    <row r="44" spans="1:13" ht="14.7" customHeight="1" x14ac:dyDescent="0.25">
      <c r="A44" s="589" t="s">
        <v>33</v>
      </c>
      <c r="B44" s="590"/>
      <c r="C44" s="590"/>
      <c r="D44" s="590"/>
      <c r="E44" s="590"/>
      <c r="F44" s="219">
        <v>0</v>
      </c>
      <c r="G44" s="220"/>
      <c r="H44" s="594"/>
      <c r="I44" s="594"/>
      <c r="J44" s="594"/>
      <c r="K44" s="594"/>
      <c r="L44" s="594"/>
      <c r="M44" s="599"/>
    </row>
    <row r="45" spans="1:13" ht="14.7" customHeight="1" thickBot="1" x14ac:dyDescent="0.3">
      <c r="A45" s="591" t="s">
        <v>34</v>
      </c>
      <c r="B45" s="592"/>
      <c r="C45" s="592"/>
      <c r="D45" s="592"/>
      <c r="E45" s="592"/>
      <c r="F45" s="225">
        <v>0</v>
      </c>
      <c r="G45" s="223"/>
      <c r="H45" s="595"/>
      <c r="I45" s="595"/>
      <c r="J45" s="595"/>
      <c r="K45" s="595"/>
      <c r="L45" s="595"/>
      <c r="M45" s="600"/>
    </row>
    <row r="46" spans="1:13" ht="18" customHeight="1" x14ac:dyDescent="0.25">
      <c r="A46" s="601" t="s">
        <v>38</v>
      </c>
      <c r="B46" s="603"/>
      <c r="C46" s="621" t="s">
        <v>39</v>
      </c>
      <c r="D46" s="621"/>
      <c r="E46" s="621"/>
      <c r="F46" s="621"/>
      <c r="G46" s="621"/>
      <c r="H46" s="593">
        <f t="shared" ref="H46:M46" si="9">$F47-$F48</f>
        <v>0</v>
      </c>
      <c r="I46" s="593">
        <f t="shared" si="9"/>
        <v>0</v>
      </c>
      <c r="J46" s="593">
        <f t="shared" si="9"/>
        <v>0</v>
      </c>
      <c r="K46" s="593">
        <f t="shared" si="9"/>
        <v>0</v>
      </c>
      <c r="L46" s="593">
        <f t="shared" si="9"/>
        <v>0</v>
      </c>
      <c r="M46" s="598">
        <f t="shared" si="9"/>
        <v>0</v>
      </c>
    </row>
    <row r="47" spans="1:13" ht="14.7" customHeight="1" x14ac:dyDescent="0.25">
      <c r="A47" s="589" t="s">
        <v>33</v>
      </c>
      <c r="B47" s="590"/>
      <c r="C47" s="590"/>
      <c r="D47" s="590"/>
      <c r="E47" s="590"/>
      <c r="F47" s="219">
        <v>0</v>
      </c>
      <c r="G47" s="220"/>
      <c r="H47" s="594"/>
      <c r="I47" s="594"/>
      <c r="J47" s="594"/>
      <c r="K47" s="594"/>
      <c r="L47" s="594"/>
      <c r="M47" s="599"/>
    </row>
    <row r="48" spans="1:13" ht="14.7" customHeight="1" thickBot="1" x14ac:dyDescent="0.3">
      <c r="A48" s="591" t="s">
        <v>34</v>
      </c>
      <c r="B48" s="592"/>
      <c r="C48" s="592"/>
      <c r="D48" s="592"/>
      <c r="E48" s="592"/>
      <c r="F48" s="225">
        <v>0</v>
      </c>
      <c r="G48" s="223"/>
      <c r="H48" s="595"/>
      <c r="I48" s="595"/>
      <c r="J48" s="595"/>
      <c r="K48" s="595"/>
      <c r="L48" s="595"/>
      <c r="M48" s="600"/>
    </row>
    <row r="49" spans="1:13" ht="18" customHeight="1" x14ac:dyDescent="0.25">
      <c r="A49" s="601" t="s">
        <v>38</v>
      </c>
      <c r="B49" s="603"/>
      <c r="C49" s="621" t="s">
        <v>39</v>
      </c>
      <c r="D49" s="621"/>
      <c r="E49" s="621"/>
      <c r="F49" s="621"/>
      <c r="G49" s="621"/>
      <c r="H49" s="593">
        <f t="shared" ref="H49:M49" si="10">$F50-$F51</f>
        <v>0</v>
      </c>
      <c r="I49" s="593">
        <f t="shared" si="10"/>
        <v>0</v>
      </c>
      <c r="J49" s="593">
        <f t="shared" si="10"/>
        <v>0</v>
      </c>
      <c r="K49" s="593">
        <f t="shared" si="10"/>
        <v>0</v>
      </c>
      <c r="L49" s="593">
        <f t="shared" si="10"/>
        <v>0</v>
      </c>
      <c r="M49" s="598">
        <f t="shared" si="10"/>
        <v>0</v>
      </c>
    </row>
    <row r="50" spans="1:13" ht="14.7" customHeight="1" x14ac:dyDescent="0.25">
      <c r="A50" s="589" t="s">
        <v>33</v>
      </c>
      <c r="B50" s="590"/>
      <c r="C50" s="590"/>
      <c r="D50" s="590"/>
      <c r="E50" s="590"/>
      <c r="F50" s="219">
        <v>0</v>
      </c>
      <c r="G50" s="220"/>
      <c r="H50" s="594"/>
      <c r="I50" s="594"/>
      <c r="J50" s="594"/>
      <c r="K50" s="594"/>
      <c r="L50" s="594"/>
      <c r="M50" s="599"/>
    </row>
    <row r="51" spans="1:13" ht="14.7" customHeight="1" thickBot="1" x14ac:dyDescent="0.3">
      <c r="A51" s="624" t="s">
        <v>34</v>
      </c>
      <c r="B51" s="625"/>
      <c r="C51" s="625"/>
      <c r="D51" s="625"/>
      <c r="E51" s="625"/>
      <c r="F51" s="224">
        <v>0</v>
      </c>
      <c r="G51" s="221"/>
      <c r="H51" s="622"/>
      <c r="I51" s="622"/>
      <c r="J51" s="622"/>
      <c r="K51" s="622"/>
      <c r="L51" s="622"/>
      <c r="M51" s="623"/>
    </row>
    <row r="52" spans="1:13" x14ac:dyDescent="0.25">
      <c r="A52" s="1"/>
      <c r="B52" s="1"/>
      <c r="C52" s="1"/>
      <c r="D52" s="1"/>
      <c r="E52" s="1"/>
      <c r="F52" s="1"/>
      <c r="G52" s="1"/>
      <c r="H52" s="1"/>
      <c r="I52" s="1"/>
      <c r="J52" s="1"/>
      <c r="K52" s="1"/>
      <c r="L52" s="1"/>
      <c r="M52" s="1"/>
    </row>
    <row r="53" spans="1:13" ht="13.8" thickBot="1" x14ac:dyDescent="0.3">
      <c r="A53" s="1"/>
      <c r="B53" s="1"/>
      <c r="C53" s="1"/>
      <c r="D53" s="1"/>
      <c r="E53" s="1"/>
      <c r="F53" s="1"/>
      <c r="G53" s="1"/>
      <c r="H53" s="1"/>
      <c r="I53" s="1"/>
      <c r="J53" s="1"/>
      <c r="K53" s="1"/>
      <c r="L53" s="1"/>
      <c r="M53" s="1"/>
    </row>
    <row r="54" spans="1:13" ht="27" thickBot="1" x14ac:dyDescent="0.3">
      <c r="A54" s="626" t="s">
        <v>259</v>
      </c>
      <c r="B54" s="627"/>
      <c r="C54" s="627"/>
      <c r="D54" s="627"/>
      <c r="E54" s="230" t="s">
        <v>41</v>
      </c>
      <c r="F54" s="231" t="s">
        <v>42</v>
      </c>
      <c r="G54" s="233" t="s">
        <v>43</v>
      </c>
      <c r="H54" s="235" t="str">
        <f t="shared" ref="H54:M54" si="11">H13</f>
        <v>Oficial Manutenção</v>
      </c>
      <c r="I54" s="235" t="str">
        <f t="shared" si="11"/>
        <v>Auxiliar Manutenção</v>
      </c>
      <c r="J54" s="235" t="str">
        <f t="shared" si="11"/>
        <v>Eng. Civil</v>
      </c>
      <c r="K54" s="235" t="str">
        <f t="shared" si="11"/>
        <v>Eng. Eletricista</v>
      </c>
      <c r="L54" s="235" t="str">
        <f t="shared" si="11"/>
        <v>Pedreiro</v>
      </c>
      <c r="M54" s="239" t="str">
        <f t="shared" si="11"/>
        <v>Pintor</v>
      </c>
    </row>
    <row r="55" spans="1:13" x14ac:dyDescent="0.25">
      <c r="A55" s="628" t="s">
        <v>419</v>
      </c>
      <c r="B55" s="629"/>
      <c r="C55" s="629"/>
      <c r="D55" s="629"/>
      <c r="E55" s="632">
        <v>21.1</v>
      </c>
      <c r="F55" s="634">
        <v>12</v>
      </c>
      <c r="G55" s="243" t="s">
        <v>44</v>
      </c>
      <c r="H55" s="244">
        <v>6</v>
      </c>
      <c r="I55" s="244">
        <v>6</v>
      </c>
      <c r="J55" s="244">
        <v>0</v>
      </c>
      <c r="K55" s="244">
        <v>0</v>
      </c>
      <c r="L55" s="244">
        <v>2</v>
      </c>
      <c r="M55" s="245">
        <v>2</v>
      </c>
    </row>
    <row r="56" spans="1:13" ht="11.4" customHeight="1" thickBot="1" x14ac:dyDescent="0.3">
      <c r="A56" s="630"/>
      <c r="B56" s="631"/>
      <c r="C56" s="631"/>
      <c r="D56" s="631"/>
      <c r="E56" s="633"/>
      <c r="F56" s="635"/>
      <c r="G56" s="246" t="s">
        <v>45</v>
      </c>
      <c r="H56" s="247">
        <f>ROUND(($E55*H55)/$F55,2)</f>
        <v>10.55</v>
      </c>
      <c r="I56" s="247">
        <f t="shared" ref="I56:M56" si="12">ROUND($E55*I55/$F55,2)</f>
        <v>10.55</v>
      </c>
      <c r="J56" s="247">
        <f t="shared" si="12"/>
        <v>0</v>
      </c>
      <c r="K56" s="247">
        <f t="shared" si="12"/>
        <v>0</v>
      </c>
      <c r="L56" s="247">
        <f t="shared" si="12"/>
        <v>3.52</v>
      </c>
      <c r="M56" s="248">
        <f t="shared" si="12"/>
        <v>3.52</v>
      </c>
    </row>
    <row r="57" spans="1:13" x14ac:dyDescent="0.25">
      <c r="A57" s="628" t="s">
        <v>420</v>
      </c>
      <c r="B57" s="629"/>
      <c r="C57" s="629"/>
      <c r="D57" s="629"/>
      <c r="E57" s="632">
        <v>39</v>
      </c>
      <c r="F57" s="636">
        <v>12</v>
      </c>
      <c r="G57" s="249" t="s">
        <v>44</v>
      </c>
      <c r="H57" s="244">
        <v>2</v>
      </c>
      <c r="I57" s="244">
        <v>2</v>
      </c>
      <c r="J57" s="244">
        <v>0</v>
      </c>
      <c r="K57" s="244">
        <v>0</v>
      </c>
      <c r="L57" s="244">
        <v>1</v>
      </c>
      <c r="M57" s="245">
        <v>1</v>
      </c>
    </row>
    <row r="58" spans="1:13" ht="11.4" customHeight="1" thickBot="1" x14ac:dyDescent="0.3">
      <c r="A58" s="630"/>
      <c r="B58" s="631"/>
      <c r="C58" s="631"/>
      <c r="D58" s="631"/>
      <c r="E58" s="633"/>
      <c r="F58" s="635"/>
      <c r="G58" s="250" t="s">
        <v>45</v>
      </c>
      <c r="H58" s="247">
        <f t="shared" ref="H58:M58" si="13">ROUND($E57*H57/$F57,2)</f>
        <v>6.5</v>
      </c>
      <c r="I58" s="247">
        <f t="shared" si="13"/>
        <v>6.5</v>
      </c>
      <c r="J58" s="247">
        <f t="shared" si="13"/>
        <v>0</v>
      </c>
      <c r="K58" s="247">
        <f t="shared" si="13"/>
        <v>0</v>
      </c>
      <c r="L58" s="247">
        <f t="shared" si="13"/>
        <v>3.25</v>
      </c>
      <c r="M58" s="248">
        <f t="shared" si="13"/>
        <v>3.25</v>
      </c>
    </row>
    <row r="59" spans="1:13" x14ac:dyDescent="0.25">
      <c r="A59" s="628" t="s">
        <v>46</v>
      </c>
      <c r="B59" s="629"/>
      <c r="C59" s="629"/>
      <c r="D59" s="629"/>
      <c r="E59" s="632">
        <v>172.07</v>
      </c>
      <c r="F59" s="636">
        <v>60</v>
      </c>
      <c r="G59" s="249" t="s">
        <v>44</v>
      </c>
      <c r="H59" s="244">
        <v>1</v>
      </c>
      <c r="I59" s="244">
        <v>1</v>
      </c>
      <c r="J59" s="244">
        <v>0</v>
      </c>
      <c r="K59" s="244">
        <v>0</v>
      </c>
      <c r="L59" s="244">
        <v>1</v>
      </c>
      <c r="M59" s="245">
        <v>1</v>
      </c>
    </row>
    <row r="60" spans="1:13" ht="11.4" customHeight="1" thickBot="1" x14ac:dyDescent="0.3">
      <c r="A60" s="630"/>
      <c r="B60" s="631"/>
      <c r="C60" s="631"/>
      <c r="D60" s="631"/>
      <c r="E60" s="633"/>
      <c r="F60" s="635"/>
      <c r="G60" s="250" t="s">
        <v>45</v>
      </c>
      <c r="H60" s="247">
        <f t="shared" ref="H60:M60" si="14">ROUND($E59*H59/$F59,2)</f>
        <v>2.87</v>
      </c>
      <c r="I60" s="247">
        <f t="shared" si="14"/>
        <v>2.87</v>
      </c>
      <c r="J60" s="247">
        <f t="shared" si="14"/>
        <v>0</v>
      </c>
      <c r="K60" s="247">
        <f t="shared" si="14"/>
        <v>0</v>
      </c>
      <c r="L60" s="247">
        <f t="shared" si="14"/>
        <v>2.87</v>
      </c>
      <c r="M60" s="248">
        <f t="shared" si="14"/>
        <v>2.87</v>
      </c>
    </row>
    <row r="61" spans="1:13" x14ac:dyDescent="0.25">
      <c r="A61" s="628" t="s">
        <v>421</v>
      </c>
      <c r="B61" s="629"/>
      <c r="C61" s="629"/>
      <c r="D61" s="629"/>
      <c r="E61" s="632">
        <v>22.38</v>
      </c>
      <c r="F61" s="636">
        <v>12</v>
      </c>
      <c r="G61" s="249" t="s">
        <v>44</v>
      </c>
      <c r="H61" s="244">
        <v>1</v>
      </c>
      <c r="I61" s="244">
        <v>1</v>
      </c>
      <c r="J61" s="244">
        <v>0</v>
      </c>
      <c r="K61" s="244">
        <v>0</v>
      </c>
      <c r="L61" s="244">
        <v>1</v>
      </c>
      <c r="M61" s="245">
        <v>1</v>
      </c>
    </row>
    <row r="62" spans="1:13" ht="11.4" customHeight="1" thickBot="1" x14ac:dyDescent="0.3">
      <c r="A62" s="630"/>
      <c r="B62" s="631"/>
      <c r="C62" s="631"/>
      <c r="D62" s="631"/>
      <c r="E62" s="633"/>
      <c r="F62" s="635"/>
      <c r="G62" s="250" t="s">
        <v>45</v>
      </c>
      <c r="H62" s="247">
        <f t="shared" ref="H62:M62" si="15">ROUND($E61*H61/$F61,2)</f>
        <v>1.87</v>
      </c>
      <c r="I62" s="247">
        <f t="shared" si="15"/>
        <v>1.87</v>
      </c>
      <c r="J62" s="247">
        <f t="shared" si="15"/>
        <v>0</v>
      </c>
      <c r="K62" s="247">
        <f t="shared" si="15"/>
        <v>0</v>
      </c>
      <c r="L62" s="247">
        <f t="shared" si="15"/>
        <v>1.87</v>
      </c>
      <c r="M62" s="248">
        <f t="shared" si="15"/>
        <v>1.87</v>
      </c>
    </row>
    <row r="63" spans="1:13" x14ac:dyDescent="0.25">
      <c r="A63" s="628" t="s">
        <v>417</v>
      </c>
      <c r="B63" s="629"/>
      <c r="C63" s="629"/>
      <c r="D63" s="629"/>
      <c r="E63" s="632">
        <v>362.93</v>
      </c>
      <c r="F63" s="636">
        <v>12</v>
      </c>
      <c r="G63" s="249" t="s">
        <v>44</v>
      </c>
      <c r="H63" s="244">
        <v>1</v>
      </c>
      <c r="I63" s="244">
        <v>1</v>
      </c>
      <c r="J63" s="244">
        <v>0</v>
      </c>
      <c r="K63" s="244">
        <v>0</v>
      </c>
      <c r="L63" s="244">
        <v>0</v>
      </c>
      <c r="M63" s="245">
        <v>0</v>
      </c>
    </row>
    <row r="64" spans="1:13" ht="11.4" customHeight="1" thickBot="1" x14ac:dyDescent="0.3">
      <c r="A64" s="630"/>
      <c r="B64" s="631"/>
      <c r="C64" s="631"/>
      <c r="D64" s="631"/>
      <c r="E64" s="633"/>
      <c r="F64" s="635"/>
      <c r="G64" s="250" t="s">
        <v>45</v>
      </c>
      <c r="H64" s="247">
        <f>ROUND($E$63*H63/$F63,2)</f>
        <v>30.24</v>
      </c>
      <c r="I64" s="247">
        <f t="shared" ref="I64:M64" si="16">ROUND($E$63*I63/$F63,2)</f>
        <v>30.24</v>
      </c>
      <c r="J64" s="247">
        <f t="shared" si="16"/>
        <v>0</v>
      </c>
      <c r="K64" s="247">
        <f t="shared" si="16"/>
        <v>0</v>
      </c>
      <c r="L64" s="247">
        <f t="shared" si="16"/>
        <v>0</v>
      </c>
      <c r="M64" s="248">
        <f t="shared" si="16"/>
        <v>0</v>
      </c>
    </row>
    <row r="65" spans="1:13" x14ac:dyDescent="0.25">
      <c r="A65" s="628" t="s">
        <v>48</v>
      </c>
      <c r="B65" s="629"/>
      <c r="C65" s="629"/>
      <c r="D65" s="629"/>
      <c r="E65" s="632">
        <v>17.670000000000002</v>
      </c>
      <c r="F65" s="636">
        <v>60</v>
      </c>
      <c r="G65" s="249" t="s">
        <v>44</v>
      </c>
      <c r="H65" s="244">
        <v>1</v>
      </c>
      <c r="I65" s="244">
        <v>1</v>
      </c>
      <c r="J65" s="244">
        <v>0</v>
      </c>
      <c r="K65" s="244">
        <v>0</v>
      </c>
      <c r="L65" s="244">
        <v>1</v>
      </c>
      <c r="M65" s="245">
        <v>1</v>
      </c>
    </row>
    <row r="66" spans="1:13" ht="11.4" customHeight="1" thickBot="1" x14ac:dyDescent="0.3">
      <c r="A66" s="630"/>
      <c r="B66" s="631"/>
      <c r="C66" s="631"/>
      <c r="D66" s="631"/>
      <c r="E66" s="633"/>
      <c r="F66" s="635"/>
      <c r="G66" s="250" t="s">
        <v>45</v>
      </c>
      <c r="H66" s="247">
        <f t="shared" ref="H66:M66" si="17">ROUND($E65*H65/$F65,2)</f>
        <v>0.28999999999999998</v>
      </c>
      <c r="I66" s="247">
        <f t="shared" si="17"/>
        <v>0.28999999999999998</v>
      </c>
      <c r="J66" s="247">
        <f t="shared" si="17"/>
        <v>0</v>
      </c>
      <c r="K66" s="247">
        <f t="shared" si="17"/>
        <v>0</v>
      </c>
      <c r="L66" s="247">
        <f t="shared" si="17"/>
        <v>0.28999999999999998</v>
      </c>
      <c r="M66" s="248">
        <f t="shared" si="17"/>
        <v>0.28999999999999998</v>
      </c>
    </row>
    <row r="67" spans="1:13" ht="15" customHeight="1" x14ac:dyDescent="0.25">
      <c r="A67" s="637" t="s">
        <v>49</v>
      </c>
      <c r="B67" s="638"/>
      <c r="C67" s="638"/>
      <c r="D67" s="638"/>
      <c r="E67" s="632">
        <v>118.66</v>
      </c>
      <c r="F67" s="636">
        <v>60</v>
      </c>
      <c r="G67" s="249" t="s">
        <v>44</v>
      </c>
      <c r="H67" s="244">
        <v>1</v>
      </c>
      <c r="I67" s="244">
        <v>1</v>
      </c>
      <c r="J67" s="244">
        <v>0</v>
      </c>
      <c r="K67" s="244">
        <v>0</v>
      </c>
      <c r="L67" s="244">
        <v>1</v>
      </c>
      <c r="M67" s="245">
        <v>1</v>
      </c>
    </row>
    <row r="68" spans="1:13" ht="11.4" customHeight="1" thickBot="1" x14ac:dyDescent="0.3">
      <c r="A68" s="639"/>
      <c r="B68" s="640"/>
      <c r="C68" s="640"/>
      <c r="D68" s="640"/>
      <c r="E68" s="633"/>
      <c r="F68" s="635"/>
      <c r="G68" s="250" t="s">
        <v>45</v>
      </c>
      <c r="H68" s="247">
        <f t="shared" ref="H68:M68" si="18">ROUND($E67*H67/$F67,2)</f>
        <v>1.98</v>
      </c>
      <c r="I68" s="247">
        <f t="shared" si="18"/>
        <v>1.98</v>
      </c>
      <c r="J68" s="247">
        <f t="shared" si="18"/>
        <v>0</v>
      </c>
      <c r="K68" s="247">
        <f t="shared" si="18"/>
        <v>0</v>
      </c>
      <c r="L68" s="247">
        <f t="shared" si="18"/>
        <v>1.98</v>
      </c>
      <c r="M68" s="248">
        <f t="shared" si="18"/>
        <v>1.98</v>
      </c>
    </row>
    <row r="69" spans="1:13" x14ac:dyDescent="0.25">
      <c r="A69" s="628" t="s">
        <v>50</v>
      </c>
      <c r="B69" s="629"/>
      <c r="C69" s="629"/>
      <c r="D69" s="629"/>
      <c r="E69" s="632">
        <v>7.95</v>
      </c>
      <c r="F69" s="636">
        <v>12</v>
      </c>
      <c r="G69" s="249" t="s">
        <v>44</v>
      </c>
      <c r="H69" s="244">
        <v>1</v>
      </c>
      <c r="I69" s="244">
        <v>1</v>
      </c>
      <c r="J69" s="244">
        <v>0</v>
      </c>
      <c r="K69" s="244">
        <v>0</v>
      </c>
      <c r="L69" s="244">
        <v>1</v>
      </c>
      <c r="M69" s="245">
        <v>1</v>
      </c>
    </row>
    <row r="70" spans="1:13" ht="11.4" customHeight="1" thickBot="1" x14ac:dyDescent="0.3">
      <c r="A70" s="630"/>
      <c r="B70" s="631"/>
      <c r="C70" s="631"/>
      <c r="D70" s="631"/>
      <c r="E70" s="633"/>
      <c r="F70" s="635"/>
      <c r="G70" s="250" t="s">
        <v>45</v>
      </c>
      <c r="H70" s="247">
        <f t="shared" ref="H70:M70" si="19">ROUND($E69*H69/$F69,2)</f>
        <v>0.66</v>
      </c>
      <c r="I70" s="247">
        <f t="shared" si="19"/>
        <v>0.66</v>
      </c>
      <c r="J70" s="247">
        <f t="shared" si="19"/>
        <v>0</v>
      </c>
      <c r="K70" s="247">
        <f t="shared" si="19"/>
        <v>0</v>
      </c>
      <c r="L70" s="247">
        <f t="shared" si="19"/>
        <v>0.66</v>
      </c>
      <c r="M70" s="248">
        <f t="shared" si="19"/>
        <v>0.66</v>
      </c>
    </row>
    <row r="71" spans="1:13" ht="15" customHeight="1" x14ac:dyDescent="0.25">
      <c r="A71" s="637" t="s">
        <v>422</v>
      </c>
      <c r="B71" s="638"/>
      <c r="C71" s="638"/>
      <c r="D71" s="638"/>
      <c r="E71" s="632">
        <v>55.93</v>
      </c>
      <c r="F71" s="636">
        <v>12</v>
      </c>
      <c r="G71" s="249" t="s">
        <v>44</v>
      </c>
      <c r="H71" s="244">
        <v>5</v>
      </c>
      <c r="I71" s="244">
        <v>5</v>
      </c>
      <c r="J71" s="244">
        <v>0</v>
      </c>
      <c r="K71" s="244">
        <v>0</v>
      </c>
      <c r="L71" s="244">
        <v>2</v>
      </c>
      <c r="M71" s="245">
        <v>2</v>
      </c>
    </row>
    <row r="72" spans="1:13" ht="11.4" customHeight="1" thickBot="1" x14ac:dyDescent="0.3">
      <c r="A72" s="639"/>
      <c r="B72" s="640"/>
      <c r="C72" s="640"/>
      <c r="D72" s="640"/>
      <c r="E72" s="633"/>
      <c r="F72" s="635"/>
      <c r="G72" s="250" t="s">
        <v>45</v>
      </c>
      <c r="H72" s="247">
        <f t="shared" ref="H72:M72" si="20">ROUND($E71*H71/$F71,2)</f>
        <v>23.3</v>
      </c>
      <c r="I72" s="247">
        <f t="shared" si="20"/>
        <v>23.3</v>
      </c>
      <c r="J72" s="247">
        <f t="shared" si="20"/>
        <v>0</v>
      </c>
      <c r="K72" s="247">
        <f t="shared" si="20"/>
        <v>0</v>
      </c>
      <c r="L72" s="247">
        <f t="shared" si="20"/>
        <v>9.32</v>
      </c>
      <c r="M72" s="248">
        <f t="shared" si="20"/>
        <v>9.32</v>
      </c>
    </row>
    <row r="73" spans="1:13" ht="15" customHeight="1" x14ac:dyDescent="0.25">
      <c r="A73" s="637" t="s">
        <v>52</v>
      </c>
      <c r="B73" s="638"/>
      <c r="C73" s="638"/>
      <c r="D73" s="638"/>
      <c r="E73" s="632">
        <v>14.4</v>
      </c>
      <c r="F73" s="636">
        <v>12</v>
      </c>
      <c r="G73" s="249" t="s">
        <v>44</v>
      </c>
      <c r="H73" s="244">
        <v>5</v>
      </c>
      <c r="I73" s="244">
        <v>5</v>
      </c>
      <c r="J73" s="244">
        <v>0</v>
      </c>
      <c r="K73" s="244">
        <v>0</v>
      </c>
      <c r="L73" s="244">
        <v>3</v>
      </c>
      <c r="M73" s="245">
        <v>3</v>
      </c>
    </row>
    <row r="74" spans="1:13" ht="11.4" customHeight="1" thickBot="1" x14ac:dyDescent="0.3">
      <c r="A74" s="639"/>
      <c r="B74" s="640"/>
      <c r="C74" s="640"/>
      <c r="D74" s="640"/>
      <c r="E74" s="633"/>
      <c r="F74" s="635"/>
      <c r="G74" s="250" t="s">
        <v>45</v>
      </c>
      <c r="H74" s="247">
        <f t="shared" ref="H74:M74" si="21">ROUND($E73*H73/$F73,2)</f>
        <v>6</v>
      </c>
      <c r="I74" s="247">
        <f t="shared" si="21"/>
        <v>6</v>
      </c>
      <c r="J74" s="247">
        <f t="shared" si="21"/>
        <v>0</v>
      </c>
      <c r="K74" s="247">
        <f t="shared" si="21"/>
        <v>0</v>
      </c>
      <c r="L74" s="247">
        <f t="shared" si="21"/>
        <v>3.6</v>
      </c>
      <c r="M74" s="248">
        <f t="shared" si="21"/>
        <v>3.6</v>
      </c>
    </row>
    <row r="75" spans="1:13" x14ac:dyDescent="0.25">
      <c r="A75" s="628" t="s">
        <v>53</v>
      </c>
      <c r="B75" s="629"/>
      <c r="C75" s="629"/>
      <c r="D75" s="629"/>
      <c r="E75" s="632">
        <v>86.99</v>
      </c>
      <c r="F75" s="636">
        <v>12</v>
      </c>
      <c r="G75" s="249" t="s">
        <v>44</v>
      </c>
      <c r="H75" s="244">
        <v>1</v>
      </c>
      <c r="I75" s="244">
        <v>1</v>
      </c>
      <c r="J75" s="244">
        <v>0</v>
      </c>
      <c r="K75" s="244">
        <v>0</v>
      </c>
      <c r="L75" s="244">
        <v>1</v>
      </c>
      <c r="M75" s="245">
        <v>1</v>
      </c>
    </row>
    <row r="76" spans="1:13" ht="11.4" customHeight="1" thickBot="1" x14ac:dyDescent="0.3">
      <c r="A76" s="630"/>
      <c r="B76" s="631"/>
      <c r="C76" s="631"/>
      <c r="D76" s="631"/>
      <c r="E76" s="633"/>
      <c r="F76" s="635"/>
      <c r="G76" s="250" t="s">
        <v>45</v>
      </c>
      <c r="H76" s="247">
        <f t="shared" ref="H76:M76" si="22">ROUND($E75*H75/$F75,2)</f>
        <v>7.25</v>
      </c>
      <c r="I76" s="247">
        <f t="shared" si="22"/>
        <v>7.25</v>
      </c>
      <c r="J76" s="247">
        <f t="shared" si="22"/>
        <v>0</v>
      </c>
      <c r="K76" s="247">
        <f t="shared" si="22"/>
        <v>0</v>
      </c>
      <c r="L76" s="247">
        <f t="shared" si="22"/>
        <v>7.25</v>
      </c>
      <c r="M76" s="248">
        <f t="shared" si="22"/>
        <v>7.25</v>
      </c>
    </row>
    <row r="77" spans="1:13" x14ac:dyDescent="0.25">
      <c r="A77" s="628" t="s">
        <v>423</v>
      </c>
      <c r="B77" s="629"/>
      <c r="C77" s="629"/>
      <c r="D77" s="629"/>
      <c r="E77" s="632">
        <v>75.72</v>
      </c>
      <c r="F77" s="636">
        <v>12</v>
      </c>
      <c r="G77" s="249" t="s">
        <v>44</v>
      </c>
      <c r="H77" s="244">
        <v>1</v>
      </c>
      <c r="I77" s="244">
        <v>1</v>
      </c>
      <c r="J77" s="244">
        <v>0</v>
      </c>
      <c r="K77" s="244">
        <v>0</v>
      </c>
      <c r="L77" s="244">
        <v>1</v>
      </c>
      <c r="M77" s="245">
        <v>1</v>
      </c>
    </row>
    <row r="78" spans="1:13" ht="11.4" customHeight="1" thickBot="1" x14ac:dyDescent="0.3">
      <c r="A78" s="630"/>
      <c r="B78" s="631"/>
      <c r="C78" s="631"/>
      <c r="D78" s="631"/>
      <c r="E78" s="633"/>
      <c r="F78" s="635"/>
      <c r="G78" s="250" t="s">
        <v>45</v>
      </c>
      <c r="H78" s="247">
        <f t="shared" ref="H78:M78" si="23">ROUND($E77*H77/$F77,2)</f>
        <v>6.31</v>
      </c>
      <c r="I78" s="247">
        <f t="shared" si="23"/>
        <v>6.31</v>
      </c>
      <c r="J78" s="247">
        <f t="shared" si="23"/>
        <v>0</v>
      </c>
      <c r="K78" s="247">
        <f t="shared" si="23"/>
        <v>0</v>
      </c>
      <c r="L78" s="247">
        <f t="shared" si="23"/>
        <v>6.31</v>
      </c>
      <c r="M78" s="248">
        <f t="shared" si="23"/>
        <v>6.31</v>
      </c>
    </row>
    <row r="79" spans="1:13" x14ac:dyDescent="0.25">
      <c r="A79" s="628" t="s">
        <v>55</v>
      </c>
      <c r="B79" s="629"/>
      <c r="C79" s="629"/>
      <c r="D79" s="629"/>
      <c r="E79" s="632">
        <v>31.33</v>
      </c>
      <c r="F79" s="634">
        <v>60</v>
      </c>
      <c r="G79" s="249" t="s">
        <v>44</v>
      </c>
      <c r="H79" s="244">
        <v>1</v>
      </c>
      <c r="I79" s="244">
        <v>1</v>
      </c>
      <c r="J79" s="244">
        <v>0</v>
      </c>
      <c r="K79" s="244">
        <v>0</v>
      </c>
      <c r="L79" s="244">
        <v>1</v>
      </c>
      <c r="M79" s="245">
        <v>1</v>
      </c>
    </row>
    <row r="80" spans="1:13" ht="11.4" customHeight="1" thickBot="1" x14ac:dyDescent="0.3">
      <c r="A80" s="630"/>
      <c r="B80" s="631"/>
      <c r="C80" s="631"/>
      <c r="D80" s="631"/>
      <c r="E80" s="633"/>
      <c r="F80" s="641"/>
      <c r="G80" s="250" t="s">
        <v>45</v>
      </c>
      <c r="H80" s="247">
        <f t="shared" ref="H80:M80" si="24">ROUND($E79*H79/$F79,2)</f>
        <v>0.52</v>
      </c>
      <c r="I80" s="247">
        <f t="shared" si="24"/>
        <v>0.52</v>
      </c>
      <c r="J80" s="247">
        <f t="shared" si="24"/>
        <v>0</v>
      </c>
      <c r="K80" s="247">
        <f t="shared" si="24"/>
        <v>0</v>
      </c>
      <c r="L80" s="247">
        <f t="shared" si="24"/>
        <v>0.52</v>
      </c>
      <c r="M80" s="248">
        <f t="shared" si="24"/>
        <v>0.52</v>
      </c>
    </row>
    <row r="81" spans="1:13" x14ac:dyDescent="0.25">
      <c r="A81" s="628" t="s">
        <v>56</v>
      </c>
      <c r="B81" s="629"/>
      <c r="C81" s="629"/>
      <c r="D81" s="629"/>
      <c r="E81" s="632">
        <v>43.98</v>
      </c>
      <c r="F81" s="634">
        <v>12</v>
      </c>
      <c r="G81" s="249" t="s">
        <v>44</v>
      </c>
      <c r="H81" s="244">
        <v>1</v>
      </c>
      <c r="I81" s="244">
        <v>1</v>
      </c>
      <c r="J81" s="244">
        <v>0</v>
      </c>
      <c r="K81" s="244">
        <v>0</v>
      </c>
      <c r="L81" s="244">
        <v>1</v>
      </c>
      <c r="M81" s="245">
        <v>1</v>
      </c>
    </row>
    <row r="82" spans="1:13" ht="11.4" customHeight="1" thickBot="1" x14ac:dyDescent="0.3">
      <c r="A82" s="630"/>
      <c r="B82" s="631"/>
      <c r="C82" s="631"/>
      <c r="D82" s="631"/>
      <c r="E82" s="633"/>
      <c r="F82" s="641"/>
      <c r="G82" s="250" t="s">
        <v>45</v>
      </c>
      <c r="H82" s="247">
        <f t="shared" ref="H82:M82" si="25">ROUND($E81*H81/$F81,2)</f>
        <v>3.67</v>
      </c>
      <c r="I82" s="247">
        <f t="shared" si="25"/>
        <v>3.67</v>
      </c>
      <c r="J82" s="247">
        <f t="shared" si="25"/>
        <v>0</v>
      </c>
      <c r="K82" s="247">
        <f t="shared" si="25"/>
        <v>0</v>
      </c>
      <c r="L82" s="247">
        <f t="shared" si="25"/>
        <v>3.67</v>
      </c>
      <c r="M82" s="248">
        <f t="shared" si="25"/>
        <v>3.67</v>
      </c>
    </row>
    <row r="83" spans="1:13" ht="15" customHeight="1" x14ac:dyDescent="0.25">
      <c r="A83" s="642" t="s">
        <v>57</v>
      </c>
      <c r="B83" s="643"/>
      <c r="C83" s="643"/>
      <c r="D83" s="643"/>
      <c r="E83" s="646">
        <v>9.67</v>
      </c>
      <c r="F83" s="648">
        <v>60</v>
      </c>
      <c r="G83" s="242" t="s">
        <v>44</v>
      </c>
      <c r="H83" s="236">
        <v>1</v>
      </c>
      <c r="I83" s="236">
        <v>1</v>
      </c>
      <c r="J83" s="236">
        <v>1</v>
      </c>
      <c r="K83" s="236">
        <v>1</v>
      </c>
      <c r="L83" s="236">
        <v>1</v>
      </c>
      <c r="M83" s="240">
        <v>1</v>
      </c>
    </row>
    <row r="84" spans="1:13" ht="11.4" customHeight="1" thickBot="1" x14ac:dyDescent="0.3">
      <c r="A84" s="644"/>
      <c r="B84" s="645"/>
      <c r="C84" s="645"/>
      <c r="D84" s="645"/>
      <c r="E84" s="647"/>
      <c r="F84" s="649"/>
      <c r="G84" s="234" t="s">
        <v>45</v>
      </c>
      <c r="H84" s="237">
        <f t="shared" ref="H84:M84" si="26">ROUND($E83*H83/$F83,2)</f>
        <v>0.16</v>
      </c>
      <c r="I84" s="237">
        <f t="shared" si="26"/>
        <v>0.16</v>
      </c>
      <c r="J84" s="237">
        <f t="shared" si="26"/>
        <v>0.16</v>
      </c>
      <c r="K84" s="237">
        <f t="shared" si="26"/>
        <v>0.16</v>
      </c>
      <c r="L84" s="237">
        <f t="shared" si="26"/>
        <v>0.16</v>
      </c>
      <c r="M84" s="241">
        <f t="shared" si="26"/>
        <v>0.16</v>
      </c>
    </row>
    <row r="85" spans="1:13" ht="13.8" thickBot="1" x14ac:dyDescent="0.3">
      <c r="A85" s="650" t="s">
        <v>58</v>
      </c>
      <c r="B85" s="651"/>
      <c r="C85" s="651"/>
      <c r="D85" s="651"/>
      <c r="E85" s="651"/>
      <c r="F85" s="651"/>
      <c r="G85" s="652"/>
      <c r="H85" s="238">
        <f>H56+H58+H60+H62+H64+H66+H68+H70+H72+H74+H76+H78+H80+H82+H84</f>
        <v>102.16999999999999</v>
      </c>
      <c r="I85" s="238">
        <f t="shared" ref="I85:M85" si="27">I56+I58+I60+I62+I64+I66+I68+I70+I72+I74+I76+I78+I80+I82+I84</f>
        <v>102.16999999999999</v>
      </c>
      <c r="J85" s="238">
        <f t="shared" si="27"/>
        <v>0.16</v>
      </c>
      <c r="K85" s="238">
        <f t="shared" si="27"/>
        <v>0.16</v>
      </c>
      <c r="L85" s="238">
        <f t="shared" si="27"/>
        <v>45.27</v>
      </c>
      <c r="M85" s="238">
        <f t="shared" si="27"/>
        <v>45.27</v>
      </c>
    </row>
    <row r="86" spans="1:13" x14ac:dyDescent="0.25">
      <c r="A86" s="1"/>
      <c r="B86" s="1"/>
      <c r="C86" s="1"/>
      <c r="D86" s="1"/>
      <c r="E86" s="1"/>
      <c r="F86" s="1"/>
      <c r="G86" s="1"/>
      <c r="H86" s="1"/>
      <c r="I86" s="1"/>
      <c r="J86" s="1"/>
      <c r="K86" s="1"/>
      <c r="L86" s="1"/>
    </row>
    <row r="87" spans="1:13" ht="13.8" thickBot="1" x14ac:dyDescent="0.3">
      <c r="A87" s="1"/>
      <c r="B87" s="1"/>
      <c r="C87" s="1"/>
      <c r="D87" s="1"/>
      <c r="E87" s="1"/>
      <c r="F87" s="1"/>
      <c r="G87" s="1"/>
      <c r="H87" s="1"/>
      <c r="I87" s="1"/>
      <c r="J87" s="1"/>
      <c r="K87" s="1"/>
      <c r="L87" s="1"/>
      <c r="M87" s="1"/>
    </row>
    <row r="88" spans="1:13" ht="16.8" customHeight="1" thickBot="1" x14ac:dyDescent="0.3">
      <c r="A88" s="653" t="s">
        <v>59</v>
      </c>
      <c r="B88" s="654"/>
      <c r="C88" s="654"/>
      <c r="D88" s="654"/>
      <c r="E88" s="654"/>
      <c r="F88" s="654"/>
      <c r="G88" s="654"/>
      <c r="H88" s="227" t="s">
        <v>60</v>
      </c>
      <c r="I88" s="1"/>
      <c r="J88" s="1"/>
      <c r="K88" s="1"/>
      <c r="L88" s="1"/>
      <c r="M88" s="1"/>
    </row>
    <row r="89" spans="1:13" ht="27" customHeight="1" thickBot="1" x14ac:dyDescent="0.3">
      <c r="A89" s="655" t="s">
        <v>61</v>
      </c>
      <c r="B89" s="656"/>
      <c r="C89" s="656"/>
      <c r="D89" s="656"/>
      <c r="E89" s="656"/>
      <c r="F89" s="656"/>
      <c r="G89" s="656"/>
      <c r="H89" s="396">
        <v>0.03</v>
      </c>
      <c r="I89" s="1"/>
      <c r="J89" s="1"/>
      <c r="K89" s="1"/>
      <c r="L89" s="1"/>
      <c r="M89" s="1"/>
    </row>
    <row r="90" spans="1:13" ht="27" customHeight="1" thickBot="1" x14ac:dyDescent="0.3">
      <c r="A90" s="657" t="s">
        <v>62</v>
      </c>
      <c r="B90" s="658"/>
      <c r="C90" s="658"/>
      <c r="D90" s="658"/>
      <c r="E90" s="658"/>
      <c r="F90" s="658"/>
      <c r="G90" s="658"/>
      <c r="H90" s="397">
        <v>1</v>
      </c>
      <c r="I90" s="1"/>
      <c r="J90" s="659" t="s">
        <v>63</v>
      </c>
      <c r="K90" s="660"/>
      <c r="L90" s="1"/>
      <c r="M90" s="1"/>
    </row>
    <row r="91" spans="1:13" ht="27" customHeight="1" x14ac:dyDescent="0.25">
      <c r="A91" s="661" t="s">
        <v>64</v>
      </c>
      <c r="B91" s="662"/>
      <c r="C91" s="662"/>
      <c r="D91" s="662"/>
      <c r="E91" s="662"/>
      <c r="F91" s="662"/>
      <c r="G91" s="662"/>
      <c r="H91" s="398">
        <v>0.06</v>
      </c>
      <c r="I91" s="1"/>
      <c r="J91" s="663">
        <f>(((1+H91)*(1+H92)/(1-SUM(H96:H98))-1))</f>
        <v>0.25287659103486448</v>
      </c>
      <c r="K91" s="664"/>
      <c r="L91" s="1"/>
      <c r="M91" s="1"/>
    </row>
    <row r="92" spans="1:13" ht="27" customHeight="1" thickBot="1" x14ac:dyDescent="0.3">
      <c r="A92" s="667" t="s">
        <v>65</v>
      </c>
      <c r="B92" s="668"/>
      <c r="C92" s="668"/>
      <c r="D92" s="668"/>
      <c r="E92" s="668"/>
      <c r="F92" s="668"/>
      <c r="G92" s="668"/>
      <c r="H92" s="399">
        <v>6.7900000000000002E-2</v>
      </c>
      <c r="I92" s="1"/>
      <c r="J92" s="665"/>
      <c r="K92" s="666"/>
      <c r="L92" s="1"/>
      <c r="M92" s="1"/>
    </row>
    <row r="93" spans="1:13" x14ac:dyDescent="0.25">
      <c r="A93" s="1"/>
      <c r="B93" s="1"/>
      <c r="C93" s="1"/>
      <c r="D93" s="1"/>
      <c r="E93" s="1"/>
      <c r="F93" s="1"/>
      <c r="G93" s="1"/>
      <c r="H93" s="1"/>
      <c r="I93" s="1"/>
      <c r="J93" s="1"/>
      <c r="K93" s="1"/>
      <c r="L93" s="1"/>
      <c r="M93" s="1"/>
    </row>
    <row r="94" spans="1:13" ht="13.8" thickBot="1" x14ac:dyDescent="0.3">
      <c r="A94" s="1"/>
      <c r="B94" s="1"/>
      <c r="C94" s="1"/>
      <c r="D94" s="1"/>
      <c r="E94" s="1"/>
      <c r="F94" s="1"/>
      <c r="G94" s="1"/>
      <c r="H94" s="1"/>
      <c r="I94" s="1"/>
      <c r="J94" s="1"/>
      <c r="K94" s="1"/>
      <c r="L94" s="1"/>
      <c r="M94" s="1"/>
    </row>
    <row r="95" spans="1:13" ht="22.8" customHeight="1" thickBot="1" x14ac:dyDescent="0.3">
      <c r="A95" s="653" t="s">
        <v>66</v>
      </c>
      <c r="B95" s="654"/>
      <c r="C95" s="654"/>
      <c r="D95" s="654"/>
      <c r="E95" s="654"/>
      <c r="F95" s="654"/>
      <c r="G95" s="654"/>
      <c r="H95" s="232" t="s">
        <v>60</v>
      </c>
      <c r="I95" s="1"/>
      <c r="J95" s="1"/>
      <c r="K95" s="1"/>
      <c r="L95" s="1"/>
      <c r="M95" s="1"/>
    </row>
    <row r="96" spans="1:13" ht="27" customHeight="1" x14ac:dyDescent="0.25">
      <c r="A96" s="669" t="s">
        <v>67</v>
      </c>
      <c r="B96" s="670"/>
      <c r="C96" s="670"/>
      <c r="D96" s="670"/>
      <c r="E96" s="670" t="s">
        <v>68</v>
      </c>
      <c r="F96" s="670"/>
      <c r="G96" s="670"/>
      <c r="H96" s="400">
        <v>1.6500000000000001E-2</v>
      </c>
      <c r="I96" s="1"/>
      <c r="J96" s="1"/>
      <c r="K96" s="1"/>
      <c r="L96" s="1"/>
      <c r="M96" s="1"/>
    </row>
    <row r="97" spans="1:13" ht="27" customHeight="1" thickBot="1" x14ac:dyDescent="0.3">
      <c r="A97" s="671"/>
      <c r="B97" s="672"/>
      <c r="C97" s="672"/>
      <c r="D97" s="672"/>
      <c r="E97" s="672" t="s">
        <v>69</v>
      </c>
      <c r="F97" s="672"/>
      <c r="G97" s="672"/>
      <c r="H97" s="399">
        <v>0.03</v>
      </c>
      <c r="I97" s="1"/>
      <c r="J97" s="1"/>
      <c r="K97" s="1"/>
      <c r="L97" s="1"/>
      <c r="M97" s="1"/>
    </row>
    <row r="98" spans="1:13" ht="27" customHeight="1" thickBot="1" x14ac:dyDescent="0.3">
      <c r="A98" s="679" t="s">
        <v>70</v>
      </c>
      <c r="B98" s="680"/>
      <c r="C98" s="680"/>
      <c r="D98" s="680"/>
      <c r="E98" s="680" t="s">
        <v>71</v>
      </c>
      <c r="F98" s="680"/>
      <c r="G98" s="680"/>
      <c r="H98" s="401">
        <v>0.05</v>
      </c>
      <c r="I98" s="1"/>
      <c r="J98" s="1"/>
      <c r="K98" s="1"/>
      <c r="L98" s="1"/>
      <c r="M98" s="1"/>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ht="24.6" customHeight="1" x14ac:dyDescent="0.25">
      <c r="A101" s="681" t="s">
        <v>59</v>
      </c>
      <c r="B101" s="681"/>
      <c r="C101" s="681"/>
      <c r="D101" s="681"/>
      <c r="E101" s="681"/>
      <c r="F101" s="681"/>
      <c r="G101" s="681"/>
      <c r="H101" s="251" t="s">
        <v>72</v>
      </c>
      <c r="I101" s="1"/>
      <c r="J101" s="1"/>
      <c r="K101" s="1"/>
      <c r="L101" s="1"/>
      <c r="M101" s="1"/>
    </row>
    <row r="102" spans="1:13" ht="27" customHeight="1" x14ac:dyDescent="0.25">
      <c r="A102" s="662" t="s">
        <v>73</v>
      </c>
      <c r="B102" s="662"/>
      <c r="C102" s="662"/>
      <c r="D102" s="662"/>
      <c r="E102" s="662"/>
      <c r="F102" s="662"/>
      <c r="G102" s="662"/>
      <c r="H102" s="402">
        <v>215.33</v>
      </c>
      <c r="I102" s="1"/>
      <c r="J102" s="1"/>
      <c r="K102" s="1"/>
      <c r="L102" s="1"/>
      <c r="M102" s="1"/>
    </row>
    <row r="103" spans="1:13" x14ac:dyDescent="0.25">
      <c r="A103" s="1"/>
      <c r="B103" s="1"/>
      <c r="C103" s="1"/>
      <c r="D103" s="1"/>
      <c r="E103" s="1"/>
      <c r="F103" s="1"/>
      <c r="G103" s="1"/>
      <c r="H103" s="1"/>
      <c r="I103" s="1"/>
      <c r="J103" s="1"/>
      <c r="K103" s="1"/>
      <c r="L103" s="1"/>
      <c r="M103" s="1"/>
    </row>
    <row r="104" spans="1:13" x14ac:dyDescent="0.25">
      <c r="A104" s="1"/>
      <c r="B104" s="1"/>
      <c r="C104" s="1"/>
      <c r="D104" s="1"/>
      <c r="E104" s="1"/>
      <c r="F104" s="1"/>
      <c r="G104" s="1"/>
      <c r="H104" s="1"/>
      <c r="I104" s="1"/>
      <c r="J104" s="1"/>
      <c r="K104" s="1"/>
      <c r="L104" s="1"/>
      <c r="M104" s="1"/>
    </row>
    <row r="105" spans="1:13" ht="24" customHeight="1" x14ac:dyDescent="0.25">
      <c r="A105" s="681" t="s">
        <v>59</v>
      </c>
      <c r="B105" s="681"/>
      <c r="C105" s="681"/>
      <c r="D105" s="681"/>
      <c r="E105" s="681"/>
      <c r="F105" s="681"/>
      <c r="G105" s="681"/>
      <c r="H105" s="251" t="s">
        <v>72</v>
      </c>
      <c r="I105" s="1"/>
      <c r="J105" s="1"/>
      <c r="K105" s="1"/>
      <c r="L105" s="1"/>
      <c r="M105" s="1"/>
    </row>
    <row r="106" spans="1:13" ht="27" customHeight="1" x14ac:dyDescent="0.25">
      <c r="A106" s="662" t="s">
        <v>74</v>
      </c>
      <c r="B106" s="662"/>
      <c r="C106" s="662"/>
      <c r="D106" s="662"/>
      <c r="E106" s="662"/>
      <c r="F106" s="662"/>
      <c r="G106" s="662"/>
      <c r="H106" s="403">
        <v>0.02</v>
      </c>
      <c r="I106" s="1"/>
      <c r="J106" s="1"/>
      <c r="K106" s="1"/>
      <c r="L106" s="1"/>
      <c r="M106" s="1"/>
    </row>
    <row r="107" spans="1:13" x14ac:dyDescent="0.25">
      <c r="A107" s="1"/>
      <c r="B107" s="1"/>
      <c r="C107" s="1"/>
      <c r="D107" s="1"/>
      <c r="E107" s="1"/>
      <c r="F107" s="1"/>
      <c r="G107" s="1"/>
      <c r="H107" s="1"/>
      <c r="I107" s="1"/>
      <c r="J107" s="1"/>
      <c r="K107" s="1"/>
      <c r="L107" s="1"/>
      <c r="M107" s="1"/>
    </row>
    <row r="108" spans="1:13" ht="13.8" thickBot="1" x14ac:dyDescent="0.3">
      <c r="A108" s="1"/>
      <c r="B108" s="1"/>
      <c r="C108" s="1"/>
      <c r="D108" s="1"/>
      <c r="E108" s="1"/>
      <c r="F108" s="1"/>
      <c r="G108" s="1"/>
      <c r="H108" s="1"/>
      <c r="I108" s="1"/>
      <c r="J108" s="1"/>
      <c r="K108" s="1"/>
      <c r="L108" s="1"/>
      <c r="M108" s="1"/>
    </row>
    <row r="109" spans="1:13" ht="26.4" customHeight="1" thickBot="1" x14ac:dyDescent="0.3">
      <c r="A109" s="682" t="s">
        <v>75</v>
      </c>
      <c r="B109" s="683"/>
      <c r="C109" s="683"/>
      <c r="D109" s="683"/>
      <c r="E109" s="683"/>
      <c r="F109" s="683"/>
      <c r="G109" s="683"/>
      <c r="H109" s="684"/>
      <c r="I109" s="1"/>
      <c r="J109" s="1"/>
      <c r="K109" s="1"/>
      <c r="L109" s="1"/>
      <c r="M109" s="1"/>
    </row>
    <row r="110" spans="1:13" ht="14.7" customHeight="1" thickBot="1" x14ac:dyDescent="0.3">
      <c r="A110" s="685" t="s">
        <v>76</v>
      </c>
      <c r="B110" s="686"/>
      <c r="C110" s="686"/>
      <c r="D110" s="686"/>
      <c r="E110" s="687"/>
      <c r="F110" s="6"/>
      <c r="G110" s="688" t="s">
        <v>77</v>
      </c>
      <c r="H110" s="689"/>
      <c r="I110" s="1"/>
      <c r="J110" s="1"/>
      <c r="K110" s="1"/>
      <c r="L110" s="1"/>
      <c r="M110" s="1"/>
    </row>
    <row r="111" spans="1:13" ht="14.7" customHeight="1" x14ac:dyDescent="0.25">
      <c r="A111" s="703" t="s">
        <v>78</v>
      </c>
      <c r="B111" s="704"/>
      <c r="C111" s="704" t="s">
        <v>79</v>
      </c>
      <c r="D111" s="707" t="s">
        <v>80</v>
      </c>
      <c r="E111" s="709" t="s">
        <v>81</v>
      </c>
      <c r="F111" s="6"/>
      <c r="G111" s="673" t="s">
        <v>418</v>
      </c>
      <c r="H111" s="674"/>
      <c r="I111" s="1"/>
      <c r="J111" s="1"/>
      <c r="K111" s="1"/>
      <c r="L111" s="1"/>
      <c r="M111" s="1"/>
    </row>
    <row r="112" spans="1:13" ht="21" customHeight="1" thickBot="1" x14ac:dyDescent="0.3">
      <c r="A112" s="705"/>
      <c r="B112" s="706"/>
      <c r="C112" s="706"/>
      <c r="D112" s="708"/>
      <c r="E112" s="710"/>
      <c r="F112" s="6"/>
      <c r="G112" s="675"/>
      <c r="H112" s="676"/>
      <c r="I112" s="1"/>
      <c r="J112" s="1"/>
      <c r="K112" s="1"/>
      <c r="L112" s="1"/>
      <c r="M112" s="1"/>
    </row>
    <row r="113" spans="1:13" ht="14.7" customHeight="1" thickBot="1" x14ac:dyDescent="0.3">
      <c r="A113" s="677" t="s">
        <v>455</v>
      </c>
      <c r="B113" s="678"/>
      <c r="C113" s="252">
        <v>130</v>
      </c>
      <c r="D113" s="253">
        <v>9.4</v>
      </c>
      <c r="E113" s="256">
        <v>1</v>
      </c>
      <c r="F113" s="6"/>
      <c r="G113" s="258" t="s">
        <v>82</v>
      </c>
      <c r="H113" s="259">
        <v>3.74</v>
      </c>
      <c r="I113" s="1"/>
      <c r="J113" s="1"/>
      <c r="K113" s="1"/>
      <c r="L113" s="1"/>
      <c r="M113" s="1"/>
    </row>
    <row r="114" spans="1:13" ht="14.7" customHeight="1" thickBot="1" x14ac:dyDescent="0.3">
      <c r="A114" s="690" t="s">
        <v>456</v>
      </c>
      <c r="B114" s="691"/>
      <c r="C114" s="254">
        <v>100</v>
      </c>
      <c r="D114" s="255">
        <v>0</v>
      </c>
      <c r="E114" s="257">
        <v>1</v>
      </c>
      <c r="F114" s="6"/>
      <c r="G114" s="7"/>
      <c r="H114" s="8"/>
      <c r="I114" s="1"/>
      <c r="J114" s="1"/>
      <c r="K114" s="1"/>
      <c r="L114" s="1"/>
      <c r="M114" s="1"/>
    </row>
    <row r="115" spans="1:13" ht="13.8" thickBot="1" x14ac:dyDescent="0.3">
      <c r="A115" s="9"/>
      <c r="B115" s="9"/>
      <c r="C115" s="9"/>
      <c r="D115" s="10"/>
      <c r="E115" s="11"/>
      <c r="F115" s="6"/>
      <c r="G115" s="7"/>
      <c r="H115" s="8"/>
      <c r="I115" s="1"/>
      <c r="J115" s="1"/>
      <c r="K115" s="1"/>
      <c r="L115" s="1"/>
      <c r="M115" s="1"/>
    </row>
    <row r="116" spans="1:13" ht="29.4" customHeight="1" thickBot="1" x14ac:dyDescent="0.3">
      <c r="A116" s="692" t="s">
        <v>83</v>
      </c>
      <c r="B116" s="693"/>
      <c r="C116" s="693"/>
      <c r="D116" s="693"/>
      <c r="E116" s="694"/>
      <c r="F116" s="6"/>
      <c r="G116" s="7"/>
      <c r="H116" s="8"/>
      <c r="I116" s="1"/>
      <c r="J116" s="1"/>
      <c r="K116" s="1"/>
      <c r="L116" s="1"/>
      <c r="M116" s="1"/>
    </row>
    <row r="117" spans="1:13" ht="14.7" customHeight="1" x14ac:dyDescent="0.25">
      <c r="A117" s="695" t="s">
        <v>84</v>
      </c>
      <c r="B117" s="697" t="s">
        <v>362</v>
      </c>
      <c r="C117" s="697"/>
      <c r="D117" s="697"/>
      <c r="E117" s="699">
        <v>40894</v>
      </c>
      <c r="F117" s="12"/>
      <c r="G117" s="7"/>
      <c r="H117" s="8"/>
      <c r="I117" s="1"/>
      <c r="J117" s="1"/>
      <c r="K117" s="1"/>
      <c r="L117" s="1"/>
      <c r="M117" s="1"/>
    </row>
    <row r="118" spans="1:13" ht="24.6" customHeight="1" thickBot="1" x14ac:dyDescent="0.3">
      <c r="A118" s="696"/>
      <c r="B118" s="698"/>
      <c r="C118" s="698"/>
      <c r="D118" s="698"/>
      <c r="E118" s="700"/>
      <c r="F118" s="12"/>
      <c r="G118" s="7"/>
      <c r="H118" s="8"/>
      <c r="I118" s="1"/>
      <c r="J118" s="1"/>
      <c r="K118" s="1"/>
      <c r="L118" s="1"/>
      <c r="M118" s="1"/>
    </row>
    <row r="119" spans="1:13" ht="18" customHeight="1" x14ac:dyDescent="0.25">
      <c r="A119" s="695" t="s">
        <v>85</v>
      </c>
      <c r="B119" s="702" t="s">
        <v>86</v>
      </c>
      <c r="C119" s="702"/>
      <c r="D119" s="702"/>
      <c r="E119" s="404">
        <f>((C113*E113)+(C114*E114))*12</f>
        <v>2760</v>
      </c>
      <c r="F119" s="12"/>
      <c r="G119" s="13"/>
      <c r="H119" s="14"/>
      <c r="I119" s="1"/>
      <c r="J119" s="15"/>
      <c r="K119" s="1"/>
      <c r="L119" s="1"/>
      <c r="M119" s="1"/>
    </row>
    <row r="120" spans="1:13" ht="15.75" customHeight="1" thickBot="1" x14ac:dyDescent="0.3">
      <c r="A120" s="701"/>
      <c r="B120" s="691" t="s">
        <v>87</v>
      </c>
      <c r="C120" s="691"/>
      <c r="D120" s="691"/>
      <c r="E120" s="405">
        <f>E119/12</f>
        <v>230</v>
      </c>
      <c r="F120" s="12"/>
      <c r="G120" s="16"/>
      <c r="H120" s="16"/>
      <c r="I120" s="1"/>
      <c r="J120" s="1"/>
      <c r="K120" s="1"/>
      <c r="L120" s="1"/>
      <c r="M120" s="1"/>
    </row>
    <row r="121" spans="1:13" ht="14.7" customHeight="1" x14ac:dyDescent="0.25">
      <c r="A121" s="695" t="s">
        <v>88</v>
      </c>
      <c r="B121" s="702" t="s">
        <v>89</v>
      </c>
      <c r="C121" s="702"/>
      <c r="D121" s="702"/>
      <c r="E121" s="404">
        <v>10</v>
      </c>
      <c r="F121" s="12"/>
      <c r="G121" s="16"/>
      <c r="H121" s="16"/>
      <c r="I121" s="1"/>
      <c r="J121" s="1"/>
      <c r="K121" s="1"/>
      <c r="L121" s="1"/>
      <c r="M121" s="1"/>
    </row>
    <row r="122" spans="1:13" ht="14.7" customHeight="1" x14ac:dyDescent="0.25">
      <c r="A122" s="696"/>
      <c r="B122" s="678" t="s">
        <v>90</v>
      </c>
      <c r="C122" s="678"/>
      <c r="D122" s="678"/>
      <c r="E122" s="406">
        <f>H113</f>
        <v>3.74</v>
      </c>
      <c r="F122" s="12"/>
      <c r="G122" s="16"/>
      <c r="H122" s="16"/>
      <c r="I122" s="1"/>
      <c r="J122" s="1"/>
      <c r="K122" s="1"/>
      <c r="L122" s="1"/>
      <c r="M122" s="1"/>
    </row>
    <row r="123" spans="1:13" ht="14.7" customHeight="1" x14ac:dyDescent="0.25">
      <c r="A123" s="696"/>
      <c r="B123" s="678" t="s">
        <v>91</v>
      </c>
      <c r="C123" s="678"/>
      <c r="D123" s="678"/>
      <c r="E123" s="406">
        <f>(E119/E121)*E122</f>
        <v>1032.24</v>
      </c>
      <c r="F123" s="12"/>
      <c r="G123" s="16"/>
      <c r="H123" s="16"/>
      <c r="I123" s="1"/>
      <c r="J123" s="1"/>
      <c r="K123" s="1"/>
      <c r="L123" s="1"/>
      <c r="M123" s="1"/>
    </row>
    <row r="124" spans="1:13" ht="13.8" thickBot="1" x14ac:dyDescent="0.3">
      <c r="A124" s="701"/>
      <c r="B124" s="711" t="s">
        <v>92</v>
      </c>
      <c r="C124" s="711"/>
      <c r="D124" s="711"/>
      <c r="E124" s="407">
        <f>E123/E119</f>
        <v>0.374</v>
      </c>
      <c r="F124" s="12"/>
      <c r="G124" s="16"/>
      <c r="H124" s="16"/>
      <c r="I124" s="1"/>
      <c r="J124" s="1"/>
      <c r="K124" s="1"/>
      <c r="L124" s="1"/>
      <c r="M124" s="1"/>
    </row>
    <row r="125" spans="1:13" ht="14.7" customHeight="1" x14ac:dyDescent="0.25">
      <c r="A125" s="695" t="s">
        <v>93</v>
      </c>
      <c r="B125" s="702" t="s">
        <v>94</v>
      </c>
      <c r="C125" s="702"/>
      <c r="D125" s="702"/>
      <c r="E125" s="404">
        <f>E117*0.04</f>
        <v>1635.76</v>
      </c>
      <c r="F125" s="12"/>
      <c r="G125" s="16"/>
      <c r="H125" s="16"/>
      <c r="I125" s="1"/>
      <c r="J125" s="1"/>
      <c r="K125" s="1"/>
      <c r="L125" s="1"/>
      <c r="M125" s="1"/>
    </row>
    <row r="126" spans="1:13" ht="14.7" customHeight="1" x14ac:dyDescent="0.25">
      <c r="A126" s="696"/>
      <c r="B126" s="678" t="s">
        <v>95</v>
      </c>
      <c r="C126" s="678"/>
      <c r="D126" s="678"/>
      <c r="E126" s="408">
        <v>0</v>
      </c>
      <c r="F126" s="12"/>
      <c r="G126" s="16"/>
      <c r="H126" s="16"/>
      <c r="I126" s="1"/>
      <c r="J126" s="1"/>
      <c r="K126" s="1"/>
      <c r="L126" s="1"/>
      <c r="M126" s="1"/>
    </row>
    <row r="127" spans="1:13" ht="14.7" customHeight="1" thickBot="1" x14ac:dyDescent="0.3">
      <c r="A127" s="696"/>
      <c r="B127" s="713" t="s">
        <v>96</v>
      </c>
      <c r="C127" s="713"/>
      <c r="D127" s="713"/>
      <c r="E127" s="409">
        <v>155.22999999999999</v>
      </c>
      <c r="F127" s="12"/>
      <c r="G127" s="16"/>
      <c r="H127" s="16"/>
      <c r="I127" s="1"/>
      <c r="J127" s="1"/>
      <c r="K127" s="1"/>
      <c r="L127" s="1"/>
      <c r="M127" s="1"/>
    </row>
    <row r="128" spans="1:13" ht="14.7" customHeight="1" thickBot="1" x14ac:dyDescent="0.3">
      <c r="A128" s="712"/>
      <c r="B128" s="714" t="s">
        <v>92</v>
      </c>
      <c r="C128" s="715"/>
      <c r="D128" s="715"/>
      <c r="E128" s="410">
        <f>(E125+E126+E127)/E119</f>
        <v>0.6489094202898551</v>
      </c>
      <c r="F128" s="12"/>
      <c r="G128" s="16"/>
      <c r="H128" s="16"/>
      <c r="I128" s="1"/>
      <c r="J128" s="1"/>
      <c r="K128" s="1"/>
      <c r="L128" s="1"/>
      <c r="M128" s="1"/>
    </row>
    <row r="129" spans="1:13" ht="14.7" customHeight="1" x14ac:dyDescent="0.25">
      <c r="A129" s="695" t="s">
        <v>97</v>
      </c>
      <c r="B129" s="702" t="s">
        <v>442</v>
      </c>
      <c r="C129" s="702"/>
      <c r="D129" s="702"/>
      <c r="E129" s="411">
        <v>752</v>
      </c>
      <c r="F129" s="12"/>
      <c r="G129" s="16"/>
      <c r="H129" s="16"/>
      <c r="I129" s="1"/>
      <c r="J129" s="1"/>
      <c r="K129" s="1"/>
      <c r="L129" s="1"/>
      <c r="M129" s="1"/>
    </row>
    <row r="130" spans="1:13" ht="13.8" thickBot="1" x14ac:dyDescent="0.3">
      <c r="A130" s="701"/>
      <c r="B130" s="711" t="s">
        <v>92</v>
      </c>
      <c r="C130" s="711"/>
      <c r="D130" s="711"/>
      <c r="E130" s="407">
        <f>(E129)/E119</f>
        <v>0.27246376811594203</v>
      </c>
      <c r="F130" s="12"/>
      <c r="G130" s="16"/>
      <c r="H130" s="16"/>
      <c r="I130" s="1"/>
      <c r="J130" s="1"/>
      <c r="K130" s="1"/>
      <c r="L130" s="1"/>
      <c r="M130" s="1"/>
    </row>
    <row r="131" spans="1:13" ht="14.7" customHeight="1" x14ac:dyDescent="0.25">
      <c r="A131" s="695" t="s">
        <v>98</v>
      </c>
      <c r="B131" s="702" t="s">
        <v>443</v>
      </c>
      <c r="C131" s="702"/>
      <c r="D131" s="702"/>
      <c r="E131" s="411">
        <v>35</v>
      </c>
      <c r="F131" s="12"/>
      <c r="G131" s="16"/>
      <c r="H131" s="16"/>
      <c r="I131" s="1"/>
      <c r="J131" s="1"/>
      <c r="K131" s="1"/>
      <c r="L131" s="1"/>
      <c r="M131" s="1"/>
    </row>
    <row r="132" spans="1:13" ht="14.7" customHeight="1" x14ac:dyDescent="0.25">
      <c r="A132" s="696"/>
      <c r="B132" s="678" t="s">
        <v>99</v>
      </c>
      <c r="C132" s="678"/>
      <c r="D132" s="678"/>
      <c r="E132" s="412">
        <v>12</v>
      </c>
      <c r="F132" s="12"/>
      <c r="G132" s="16"/>
      <c r="H132" s="16"/>
      <c r="I132" s="1"/>
      <c r="J132" s="1"/>
      <c r="K132" s="1"/>
      <c r="L132" s="1"/>
      <c r="M132" s="1"/>
    </row>
    <row r="133" spans="1:13" ht="13.8" thickBot="1" x14ac:dyDescent="0.3">
      <c r="A133" s="701"/>
      <c r="B133" s="711" t="s">
        <v>92</v>
      </c>
      <c r="C133" s="711"/>
      <c r="D133" s="711"/>
      <c r="E133" s="413">
        <f>(E131*E132)/E119</f>
        <v>0.15217391304347827</v>
      </c>
      <c r="F133" s="12"/>
      <c r="G133" s="16"/>
      <c r="H133" s="16"/>
      <c r="I133" s="1"/>
      <c r="J133" s="1"/>
      <c r="K133" s="1"/>
      <c r="L133" s="1"/>
      <c r="M133" s="1"/>
    </row>
    <row r="134" spans="1:13" ht="14.7" customHeight="1" x14ac:dyDescent="0.25">
      <c r="A134" s="695" t="s">
        <v>100</v>
      </c>
      <c r="B134" s="702" t="s">
        <v>101</v>
      </c>
      <c r="C134" s="702"/>
      <c r="D134" s="702"/>
      <c r="E134" s="414">
        <f>0.065*E117</f>
        <v>2658.11</v>
      </c>
      <c r="F134" s="12"/>
      <c r="G134" s="16"/>
      <c r="H134" s="16"/>
      <c r="I134" s="1"/>
      <c r="J134" s="1"/>
      <c r="K134" s="1"/>
      <c r="L134" s="1"/>
      <c r="M134" s="1"/>
    </row>
    <row r="135" spans="1:13" x14ac:dyDescent="0.25">
      <c r="A135" s="701"/>
      <c r="B135" s="711" t="s">
        <v>92</v>
      </c>
      <c r="C135" s="711"/>
      <c r="D135" s="711"/>
      <c r="E135" s="413">
        <f>E134/E119</f>
        <v>0.9630833333333334</v>
      </c>
      <c r="F135" s="12"/>
      <c r="G135" s="16"/>
      <c r="H135" s="16"/>
      <c r="I135" s="1"/>
      <c r="J135" s="1"/>
      <c r="K135" s="1"/>
      <c r="L135" s="1"/>
      <c r="M135" s="1"/>
    </row>
    <row r="136" spans="1:13" ht="14.7" customHeight="1" x14ac:dyDescent="0.25">
      <c r="A136" s="695" t="s">
        <v>102</v>
      </c>
      <c r="B136" s="702" t="s">
        <v>103</v>
      </c>
      <c r="C136" s="702"/>
      <c r="D136" s="702"/>
      <c r="E136" s="414">
        <f>SUM(D113:D113)</f>
        <v>9.4</v>
      </c>
      <c r="F136" s="12"/>
      <c r="G136" s="16"/>
      <c r="H136" s="16"/>
      <c r="I136" s="1"/>
      <c r="J136" s="1"/>
      <c r="K136" s="1"/>
      <c r="L136" s="1"/>
      <c r="M136" s="1"/>
    </row>
    <row r="137" spans="1:13" x14ac:dyDescent="0.25">
      <c r="A137" s="701"/>
      <c r="B137" s="711" t="s">
        <v>92</v>
      </c>
      <c r="C137" s="711"/>
      <c r="D137" s="711"/>
      <c r="E137" s="413">
        <f>(E136*12)/E119</f>
        <v>4.086956521739131E-2</v>
      </c>
      <c r="F137" s="12"/>
      <c r="G137" s="16"/>
      <c r="H137" s="16"/>
      <c r="I137" s="1"/>
      <c r="J137" s="1"/>
      <c r="K137" s="1"/>
      <c r="L137" s="1"/>
      <c r="M137" s="1"/>
    </row>
    <row r="138" spans="1:13" ht="13.8" thickBot="1" x14ac:dyDescent="0.3">
      <c r="A138" s="17"/>
      <c r="B138" s="17"/>
      <c r="C138" s="17"/>
      <c r="D138" s="17"/>
      <c r="E138" s="415"/>
      <c r="F138" s="16"/>
      <c r="G138" s="16"/>
      <c r="H138" s="16"/>
      <c r="I138" s="1"/>
      <c r="J138" s="1"/>
      <c r="K138" s="1"/>
      <c r="L138" s="1"/>
      <c r="M138" s="1"/>
    </row>
    <row r="139" spans="1:13" ht="25.5" customHeight="1" thickBot="1" x14ac:dyDescent="0.3">
      <c r="A139" s="717" t="s">
        <v>104</v>
      </c>
      <c r="B139" s="718"/>
      <c r="C139" s="719" t="s">
        <v>105</v>
      </c>
      <c r="D139" s="719"/>
      <c r="E139" s="416">
        <f>E124+E130+E133+E135+E137+E128</f>
        <v>2.4515000000000002</v>
      </c>
      <c r="F139" s="12"/>
      <c r="G139" s="16"/>
      <c r="H139" s="16"/>
      <c r="I139" s="1"/>
      <c r="J139" s="1"/>
      <c r="K139" s="1"/>
      <c r="L139" s="1"/>
      <c r="M139" s="1"/>
    </row>
    <row r="140" spans="1:13" x14ac:dyDescent="0.25">
      <c r="A140" s="1"/>
      <c r="B140" s="1"/>
      <c r="C140" s="1"/>
      <c r="D140" s="1"/>
      <c r="E140" s="1"/>
      <c r="F140" s="1"/>
      <c r="G140" s="1"/>
      <c r="H140" s="1"/>
      <c r="I140" s="1"/>
      <c r="J140" s="1"/>
      <c r="K140" s="1"/>
      <c r="L140" s="1"/>
      <c r="M140" s="1"/>
    </row>
    <row r="141" spans="1:13" x14ac:dyDescent="0.25">
      <c r="A141" s="1"/>
      <c r="B141" s="1"/>
      <c r="C141" s="1"/>
      <c r="D141" s="1"/>
      <c r="E141" s="1"/>
      <c r="F141" s="1"/>
      <c r="G141" s="1"/>
      <c r="H141" s="1"/>
    </row>
    <row r="142" spans="1:13" ht="30" customHeight="1" x14ac:dyDescent="0.25">
      <c r="A142" s="716" t="s">
        <v>446</v>
      </c>
      <c r="B142" s="716"/>
      <c r="C142" s="716"/>
      <c r="D142" s="716"/>
      <c r="E142" s="716"/>
      <c r="F142" s="716"/>
      <c r="G142" s="716"/>
      <c r="H142" s="18">
        <v>2271.8200000000002</v>
      </c>
    </row>
    <row r="143" spans="1:13" ht="22.2" customHeight="1" x14ac:dyDescent="0.25">
      <c r="A143" s="716" t="s">
        <v>363</v>
      </c>
      <c r="B143" s="716"/>
      <c r="C143" s="716"/>
      <c r="D143" s="716"/>
      <c r="E143" s="716"/>
      <c r="F143" s="716"/>
      <c r="G143" s="716"/>
      <c r="H143" s="179">
        <f>H142/12</f>
        <v>189.31833333333336</v>
      </c>
    </row>
  </sheetData>
  <sheetProtection selectLockedCells="1" selectUnlockedCells="1"/>
  <mergeCells count="216">
    <mergeCell ref="A136:A137"/>
    <mergeCell ref="B136:D136"/>
    <mergeCell ref="B137:D137"/>
    <mergeCell ref="A143:G143"/>
    <mergeCell ref="A139:B139"/>
    <mergeCell ref="C139:D139"/>
    <mergeCell ref="A142:G142"/>
    <mergeCell ref="A129:A130"/>
    <mergeCell ref="B129:D129"/>
    <mergeCell ref="B130:D130"/>
    <mergeCell ref="A131:A133"/>
    <mergeCell ref="B131:D131"/>
    <mergeCell ref="B132:D132"/>
    <mergeCell ref="B133:D133"/>
    <mergeCell ref="A134:A135"/>
    <mergeCell ref="B134:D134"/>
    <mergeCell ref="B135:D135"/>
    <mergeCell ref="A121:A124"/>
    <mergeCell ref="B121:D121"/>
    <mergeCell ref="B122:D122"/>
    <mergeCell ref="B123:D123"/>
    <mergeCell ref="B124:D124"/>
    <mergeCell ref="A125:A128"/>
    <mergeCell ref="B125:D125"/>
    <mergeCell ref="B126:D126"/>
    <mergeCell ref="B127:D127"/>
    <mergeCell ref="B128:D128"/>
    <mergeCell ref="A114:B114"/>
    <mergeCell ref="A116:E116"/>
    <mergeCell ref="A117:A118"/>
    <mergeCell ref="B117:D118"/>
    <mergeCell ref="E117:E118"/>
    <mergeCell ref="A119:A120"/>
    <mergeCell ref="B119:D119"/>
    <mergeCell ref="B120:D120"/>
    <mergeCell ref="A111:B112"/>
    <mergeCell ref="C111:C112"/>
    <mergeCell ref="D111:D112"/>
    <mergeCell ref="E111:E112"/>
    <mergeCell ref="G111:H112"/>
    <mergeCell ref="A113:B113"/>
    <mergeCell ref="A98:D98"/>
    <mergeCell ref="E98:G98"/>
    <mergeCell ref="A101:G101"/>
    <mergeCell ref="A102:G102"/>
    <mergeCell ref="A105:G105"/>
    <mergeCell ref="A106:G106"/>
    <mergeCell ref="A109:H109"/>
    <mergeCell ref="A110:E110"/>
    <mergeCell ref="G110:H110"/>
    <mergeCell ref="A90:G90"/>
    <mergeCell ref="J90:K90"/>
    <mergeCell ref="A91:G91"/>
    <mergeCell ref="J91:K92"/>
    <mergeCell ref="A92:G92"/>
    <mergeCell ref="A95:G95"/>
    <mergeCell ref="A96:D97"/>
    <mergeCell ref="E96:G96"/>
    <mergeCell ref="E97:G97"/>
    <mergeCell ref="A81:D82"/>
    <mergeCell ref="E81:E82"/>
    <mergeCell ref="F81:F82"/>
    <mergeCell ref="A83:D84"/>
    <mergeCell ref="E83:E84"/>
    <mergeCell ref="F83:F84"/>
    <mergeCell ref="A85:G85"/>
    <mergeCell ref="A88:G88"/>
    <mergeCell ref="A89:G89"/>
    <mergeCell ref="A75:D76"/>
    <mergeCell ref="E75:E76"/>
    <mergeCell ref="F75:F76"/>
    <mergeCell ref="A77:D78"/>
    <mergeCell ref="E77:E78"/>
    <mergeCell ref="F77:F78"/>
    <mergeCell ref="A79:D80"/>
    <mergeCell ref="E79:E80"/>
    <mergeCell ref="F79:F80"/>
    <mergeCell ref="A69:D70"/>
    <mergeCell ref="E69:E70"/>
    <mergeCell ref="F69:F70"/>
    <mergeCell ref="A71:D72"/>
    <mergeCell ref="E71:E72"/>
    <mergeCell ref="F71:F72"/>
    <mergeCell ref="A73:D74"/>
    <mergeCell ref="E73:E74"/>
    <mergeCell ref="F73:F74"/>
    <mergeCell ref="A61:D62"/>
    <mergeCell ref="E61:E62"/>
    <mergeCell ref="F61:F62"/>
    <mergeCell ref="A65:D66"/>
    <mergeCell ref="E65:E66"/>
    <mergeCell ref="F65:F66"/>
    <mergeCell ref="A67:D68"/>
    <mergeCell ref="E67:E68"/>
    <mergeCell ref="F67:F68"/>
    <mergeCell ref="A63:D64"/>
    <mergeCell ref="E63:E64"/>
    <mergeCell ref="F63:F64"/>
    <mergeCell ref="A54:D54"/>
    <mergeCell ref="A55:D56"/>
    <mergeCell ref="E55:E56"/>
    <mergeCell ref="F55:F56"/>
    <mergeCell ref="A57:D58"/>
    <mergeCell ref="E57:E58"/>
    <mergeCell ref="F57:F58"/>
    <mergeCell ref="A59:D60"/>
    <mergeCell ref="E59:E60"/>
    <mergeCell ref="F59:F60"/>
    <mergeCell ref="C49:G49"/>
    <mergeCell ref="H49:H51"/>
    <mergeCell ref="I49:I51"/>
    <mergeCell ref="J49:J51"/>
    <mergeCell ref="K49:K51"/>
    <mergeCell ref="L49:L51"/>
    <mergeCell ref="M49:M51"/>
    <mergeCell ref="A50:E50"/>
    <mergeCell ref="A51:E51"/>
    <mergeCell ref="A49:B49"/>
    <mergeCell ref="C46:G46"/>
    <mergeCell ref="H46:H48"/>
    <mergeCell ref="I46:I48"/>
    <mergeCell ref="J46:J48"/>
    <mergeCell ref="K46:K48"/>
    <mergeCell ref="L46:L48"/>
    <mergeCell ref="M46:M48"/>
    <mergeCell ref="A47:E47"/>
    <mergeCell ref="A48:E48"/>
    <mergeCell ref="A46:B46"/>
    <mergeCell ref="A43:G43"/>
    <mergeCell ref="H43:H45"/>
    <mergeCell ref="I43:I45"/>
    <mergeCell ref="J43:J45"/>
    <mergeCell ref="K43:K45"/>
    <mergeCell ref="L43:L45"/>
    <mergeCell ref="M43:M45"/>
    <mergeCell ref="A44:E44"/>
    <mergeCell ref="A45:E45"/>
    <mergeCell ref="H40:H42"/>
    <mergeCell ref="I40:I42"/>
    <mergeCell ref="J40:J42"/>
    <mergeCell ref="K40:K42"/>
    <mergeCell ref="L40:L42"/>
    <mergeCell ref="M40:M42"/>
    <mergeCell ref="A41:E41"/>
    <mergeCell ref="A42:E42"/>
    <mergeCell ref="A40:G40"/>
    <mergeCell ref="H34:H36"/>
    <mergeCell ref="I34:I36"/>
    <mergeCell ref="J34:J36"/>
    <mergeCell ref="K34:K36"/>
    <mergeCell ref="L34:L36"/>
    <mergeCell ref="M34:M36"/>
    <mergeCell ref="A35:E35"/>
    <mergeCell ref="A36:E36"/>
    <mergeCell ref="H37:H39"/>
    <mergeCell ref="I37:I39"/>
    <mergeCell ref="J37:J39"/>
    <mergeCell ref="K37:K39"/>
    <mergeCell ref="L37:L39"/>
    <mergeCell ref="M37:M39"/>
    <mergeCell ref="A38:E38"/>
    <mergeCell ref="A39:E39"/>
    <mergeCell ref="A34:G34"/>
    <mergeCell ref="A37:G37"/>
    <mergeCell ref="L28:L30"/>
    <mergeCell ref="M28:M30"/>
    <mergeCell ref="A29:E29"/>
    <mergeCell ref="A30:E30"/>
    <mergeCell ref="H31:H33"/>
    <mergeCell ref="I31:I33"/>
    <mergeCell ref="J31:J33"/>
    <mergeCell ref="K31:K33"/>
    <mergeCell ref="L31:L33"/>
    <mergeCell ref="M31:M33"/>
    <mergeCell ref="A32:E32"/>
    <mergeCell ref="A31:G31"/>
    <mergeCell ref="A33:E33"/>
    <mergeCell ref="A23:G23"/>
    <mergeCell ref="A24:G24"/>
    <mergeCell ref="A25:E25"/>
    <mergeCell ref="A26:E26"/>
    <mergeCell ref="A27:E27"/>
    <mergeCell ref="H28:H30"/>
    <mergeCell ref="I28:I30"/>
    <mergeCell ref="J28:J30"/>
    <mergeCell ref="K28:K30"/>
    <mergeCell ref="A28:G28"/>
    <mergeCell ref="A12:G13"/>
    <mergeCell ref="H12:I12"/>
    <mergeCell ref="J12:M12"/>
    <mergeCell ref="A20:G20"/>
    <mergeCell ref="A14:G14"/>
    <mergeCell ref="A15:G15"/>
    <mergeCell ref="A17:G17"/>
    <mergeCell ref="A18:G18"/>
    <mergeCell ref="A19:G19"/>
    <mergeCell ref="A16:G16"/>
    <mergeCell ref="A5:C5"/>
    <mergeCell ref="D5:F5"/>
    <mergeCell ref="A6:C6"/>
    <mergeCell ref="D6:F6"/>
    <mergeCell ref="A7:C7"/>
    <mergeCell ref="D7:F7"/>
    <mergeCell ref="A8:C8"/>
    <mergeCell ref="D8:F8"/>
    <mergeCell ref="A10:C10"/>
    <mergeCell ref="D10:M10"/>
    <mergeCell ref="A1:C1"/>
    <mergeCell ref="D1:I1"/>
    <mergeCell ref="A2:C2"/>
    <mergeCell ref="D2:I2"/>
    <mergeCell ref="A3:C3"/>
    <mergeCell ref="D3:I3"/>
    <mergeCell ref="A4:C4"/>
    <mergeCell ref="D4:F4"/>
    <mergeCell ref="H4:I4"/>
  </mergeCells>
  <pageMargins left="0.78749999999999998" right="0.78749999999999998" top="1.0527777777777778" bottom="1.0527777777777778" header="0.78749999999999998" footer="0.78749999999999998"/>
  <pageSetup paperSize="9" scale="80" firstPageNumber="0" orientation="landscape" horizontalDpi="300" verticalDpi="300" r:id="rId1"/>
  <headerFooter alignWithMargins="0">
    <oddHeader>&amp;C&amp;"Times New Roman,Normal"&amp;12&amp;A</oddHeader>
    <oddFooter>&amp;C&amp;"Times New Roman,Normal"&amp;12Página &amp;P</oddFooter>
  </headerFooter>
  <ignoredErrors>
    <ignoredError sqref="F33 F39" unlocked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44"/>
  <sheetViews>
    <sheetView topLeftCell="A115" workbookViewId="0">
      <selection activeCell="B130" sqref="B130"/>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899" t="s">
        <v>106</v>
      </c>
      <c r="C1" s="899"/>
      <c r="D1" s="899"/>
      <c r="E1" s="899"/>
      <c r="F1" s="899"/>
      <c r="G1" s="899"/>
      <c r="H1" s="899"/>
      <c r="I1" s="899"/>
      <c r="J1" s="899"/>
      <c r="K1" s="1008"/>
      <c r="L1" s="1008"/>
    </row>
    <row r="2" spans="1:12" ht="21.75" customHeight="1" x14ac:dyDescent="0.25">
      <c r="A2" s="20"/>
      <c r="B2" s="901" t="s">
        <v>2</v>
      </c>
      <c r="C2" s="901"/>
      <c r="D2" s="901"/>
      <c r="E2" s="902" t="str">
        <f>'DADOS INICIAIS'!D2</f>
        <v>16034.720017/2023-24</v>
      </c>
      <c r="F2" s="902"/>
      <c r="G2" s="902"/>
      <c r="H2" s="902"/>
      <c r="I2" s="902"/>
      <c r="J2" s="902"/>
      <c r="K2" s="1008"/>
      <c r="L2" s="1008"/>
    </row>
    <row r="3" spans="1:12" ht="21.75" customHeight="1" x14ac:dyDescent="0.25">
      <c r="A3" s="20"/>
      <c r="B3" s="901" t="s">
        <v>3</v>
      </c>
      <c r="C3" s="901"/>
      <c r="D3" s="901"/>
      <c r="E3" s="903" t="str">
        <f>'DADOS INICIAIS'!D3</f>
        <v>Pregão DRF/JUN nº 10/2023</v>
      </c>
      <c r="F3" s="903"/>
      <c r="G3" s="903"/>
      <c r="H3" s="903"/>
      <c r="I3" s="903"/>
      <c r="J3" s="903"/>
      <c r="K3" s="1008"/>
      <c r="L3" s="1008"/>
    </row>
    <row r="4" spans="1:12" ht="21.75" customHeight="1" x14ac:dyDescent="0.25">
      <c r="A4" s="20"/>
      <c r="B4" s="901" t="s">
        <v>4</v>
      </c>
      <c r="C4" s="901"/>
      <c r="D4" s="901"/>
      <c r="E4" s="904" t="str">
        <f>'DADOS INICIAIS'!D4</f>
        <v>XX/XX/2023</v>
      </c>
      <c r="F4" s="904"/>
      <c r="G4" s="23"/>
      <c r="H4" s="24" t="s">
        <v>5</v>
      </c>
      <c r="I4" s="905">
        <f>'DADOS INICIAIS'!H4</f>
        <v>0.375</v>
      </c>
      <c r="J4" s="905"/>
      <c r="K4" s="1008"/>
      <c r="L4" s="1008"/>
    </row>
    <row r="5" spans="1:12" ht="21.75" customHeight="1" x14ac:dyDescent="0.25">
      <c r="A5" s="20"/>
      <c r="B5" s="25"/>
      <c r="C5" s="26"/>
      <c r="D5" s="26"/>
      <c r="E5" s="26"/>
      <c r="F5" s="26"/>
      <c r="G5" s="26"/>
      <c r="H5" s="26"/>
      <c r="I5" s="26"/>
      <c r="J5" s="26"/>
      <c r="K5" s="1008"/>
      <c r="L5" s="1008"/>
    </row>
    <row r="6" spans="1:12" ht="21.75" customHeight="1" x14ac:dyDescent="0.25">
      <c r="A6" s="20"/>
      <c r="B6" s="901" t="s">
        <v>107</v>
      </c>
      <c r="C6" s="901"/>
      <c r="D6" s="901"/>
      <c r="E6" s="906" t="str">
        <f>'DADOS INICIAIS'!D1</f>
        <v>Manutenção Predial</v>
      </c>
      <c r="F6" s="906"/>
      <c r="G6" s="906"/>
      <c r="H6" s="906"/>
      <c r="I6" s="906"/>
      <c r="J6" s="906"/>
      <c r="K6" s="1008"/>
      <c r="L6" s="1008"/>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1009" t="str">
        <f>'DADOS INICIAIS'!D6</f>
        <v>JUNDIAÍ</v>
      </c>
      <c r="H8" s="1009"/>
      <c r="I8" s="1009"/>
      <c r="J8" s="1009"/>
      <c r="K8" s="1009"/>
      <c r="L8" s="1009"/>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114</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INICIAIS'!K16</f>
        <v>113.78</v>
      </c>
    </row>
    <row r="16" spans="1:12" ht="21.75" customHeight="1" x14ac:dyDescent="0.25">
      <c r="A16" s="20"/>
      <c r="B16" s="33">
        <v>2</v>
      </c>
      <c r="C16" s="22" t="s">
        <v>116</v>
      </c>
      <c r="D16" s="22"/>
      <c r="E16" s="22"/>
      <c r="F16" s="22"/>
      <c r="G16" s="22"/>
      <c r="H16" s="22"/>
      <c r="I16" s="22"/>
      <c r="J16" s="22"/>
      <c r="K16" s="22"/>
      <c r="L16" s="35" t="str">
        <f>'DADOS INICIAIS'!K17</f>
        <v>Eng. Eletricista</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10" t="s">
        <v>118</v>
      </c>
      <c r="D18" s="910"/>
      <c r="E18" s="910"/>
      <c r="F18" s="910"/>
      <c r="G18" s="910"/>
      <c r="H18" s="910"/>
      <c r="I18" s="910"/>
      <c r="J18" s="910"/>
      <c r="K18" s="910"/>
      <c r="L18" s="39" t="str">
        <f>'DADOS INICIAIS'!K15</f>
        <v>2143-05</v>
      </c>
    </row>
    <row r="19" spans="1:12" ht="21.75" customHeight="1" x14ac:dyDescent="0.25">
      <c r="A19" s="20"/>
      <c r="B19" s="40"/>
      <c r="C19" s="20"/>
      <c r="D19" s="20"/>
      <c r="E19" s="20"/>
      <c r="F19" s="20"/>
      <c r="G19" s="20"/>
      <c r="H19" s="20"/>
      <c r="I19" s="20"/>
      <c r="J19" s="20"/>
      <c r="K19" s="20"/>
      <c r="L19" s="41"/>
    </row>
    <row r="20" spans="1:12" ht="21.75" customHeight="1" x14ac:dyDescent="0.25">
      <c r="A20" s="20"/>
      <c r="B20" s="911" t="s">
        <v>119</v>
      </c>
      <c r="C20" s="911"/>
      <c r="D20" s="911"/>
      <c r="E20" s="911"/>
      <c r="F20" s="911"/>
      <c r="G20" s="911"/>
      <c r="H20" s="911"/>
      <c r="I20" s="911"/>
      <c r="J20" s="911"/>
      <c r="K20" s="911"/>
      <c r="L20" s="42" t="s">
        <v>72</v>
      </c>
    </row>
    <row r="21" spans="1:12" ht="21.75" customHeight="1" x14ac:dyDescent="0.25">
      <c r="A21" s="20"/>
      <c r="B21" s="33" t="s">
        <v>120</v>
      </c>
      <c r="C21" s="22" t="s">
        <v>121</v>
      </c>
      <c r="D21" s="22"/>
      <c r="E21" s="22"/>
      <c r="F21" s="22"/>
      <c r="G21" s="22"/>
      <c r="H21" s="22"/>
      <c r="I21" s="22"/>
      <c r="J21" s="22"/>
      <c r="K21" s="43"/>
      <c r="L21" s="44">
        <f>'DADOS INICIAIS'!K19</f>
        <v>113.78</v>
      </c>
    </row>
    <row r="22" spans="1:12" ht="21.75" customHeight="1" x14ac:dyDescent="0.25">
      <c r="A22" s="20"/>
      <c r="B22" s="33" t="s">
        <v>122</v>
      </c>
      <c r="C22" s="37" t="s">
        <v>30</v>
      </c>
      <c r="D22" s="37"/>
      <c r="E22" s="37"/>
      <c r="F22" s="43" t="s">
        <v>123</v>
      </c>
      <c r="G22" s="43"/>
      <c r="H22" s="37"/>
      <c r="I22" s="43" t="s">
        <v>124</v>
      </c>
      <c r="J22" s="20"/>
      <c r="K22" s="45">
        <f>'DADOS INICIAIS'!K20</f>
        <v>0</v>
      </c>
      <c r="L22" s="44">
        <f>L21*K22</f>
        <v>0</v>
      </c>
    </row>
    <row r="23" spans="1:12" ht="21.75" customHeight="1" x14ac:dyDescent="0.25">
      <c r="A23" s="20"/>
      <c r="B23" s="912" t="s">
        <v>125</v>
      </c>
      <c r="C23" s="37" t="s">
        <v>126</v>
      </c>
      <c r="D23" s="37"/>
      <c r="E23" s="37"/>
      <c r="F23" s="43" t="s">
        <v>127</v>
      </c>
      <c r="G23" s="43"/>
      <c r="H23" s="37"/>
      <c r="I23" s="37"/>
      <c r="J23" s="37"/>
      <c r="K23" s="137"/>
      <c r="L23" s="913">
        <f>L21*K23</f>
        <v>0</v>
      </c>
    </row>
    <row r="24" spans="1:12" ht="21.75" customHeight="1" x14ac:dyDescent="0.25">
      <c r="A24" s="20"/>
      <c r="B24" s="912"/>
      <c r="C24" s="31"/>
      <c r="D24" s="31"/>
      <c r="E24" s="31"/>
      <c r="F24" s="46" t="s">
        <v>128</v>
      </c>
      <c r="G24" s="46"/>
      <c r="H24" s="31"/>
      <c r="I24" s="47" t="s">
        <v>129</v>
      </c>
      <c r="J24" s="48"/>
      <c r="K24" s="143"/>
      <c r="L24" s="913"/>
    </row>
    <row r="25" spans="1:12" ht="21.75" customHeight="1" x14ac:dyDescent="0.25">
      <c r="A25" s="20"/>
      <c r="B25" s="33" t="s">
        <v>130</v>
      </c>
      <c r="C25" s="914" t="s">
        <v>131</v>
      </c>
      <c r="D25" s="914"/>
      <c r="E25" s="914"/>
      <c r="F25" s="914"/>
      <c r="G25" s="914"/>
      <c r="H25" s="914"/>
      <c r="I25" s="914"/>
      <c r="J25" s="914"/>
      <c r="K25" s="914"/>
      <c r="L25" s="44"/>
    </row>
    <row r="26" spans="1:12" ht="21.75" customHeight="1" x14ac:dyDescent="0.25">
      <c r="A26" s="20"/>
      <c r="B26" s="33" t="s">
        <v>132</v>
      </c>
      <c r="C26" s="914" t="s">
        <v>116</v>
      </c>
      <c r="D26" s="914"/>
      <c r="E26" s="914"/>
      <c r="F26" s="914"/>
      <c r="G26" s="914"/>
      <c r="H26" s="914"/>
      <c r="I26" s="914"/>
      <c r="J26" s="914"/>
      <c r="K26" s="914"/>
      <c r="L26" s="44" t="str">
        <f>L16</f>
        <v>Eng. Eletricista</v>
      </c>
    </row>
    <row r="27" spans="1:12" ht="21.75" customHeight="1" x14ac:dyDescent="0.25">
      <c r="A27" s="20"/>
      <c r="B27" s="33" t="s">
        <v>133</v>
      </c>
      <c r="C27" s="914" t="s">
        <v>134</v>
      </c>
      <c r="D27" s="914"/>
      <c r="E27" s="914"/>
      <c r="F27" s="914"/>
      <c r="G27" s="914"/>
      <c r="H27" s="914"/>
      <c r="I27" s="914"/>
      <c r="J27" s="914"/>
      <c r="K27" s="914"/>
      <c r="L27" s="44"/>
    </row>
    <row r="28" spans="1:12" ht="21.75" customHeight="1" x14ac:dyDescent="0.25">
      <c r="A28" s="20"/>
      <c r="B28" s="33" t="s">
        <v>135</v>
      </c>
      <c r="C28" s="914" t="s">
        <v>136</v>
      </c>
      <c r="D28" s="914"/>
      <c r="E28" s="914"/>
      <c r="F28" s="914"/>
      <c r="G28" s="914"/>
      <c r="H28" s="914"/>
      <c r="I28" s="914"/>
      <c r="J28" s="914"/>
      <c r="K28" s="914"/>
      <c r="L28" s="44"/>
    </row>
    <row r="29" spans="1:12" ht="21.75" customHeight="1" x14ac:dyDescent="0.25">
      <c r="A29" s="20"/>
      <c r="B29" s="911" t="s">
        <v>137</v>
      </c>
      <c r="C29" s="911"/>
      <c r="D29" s="911"/>
      <c r="E29" s="911"/>
      <c r="F29" s="911"/>
      <c r="G29" s="49"/>
      <c r="H29" s="49"/>
      <c r="I29" s="49"/>
      <c r="J29" s="49"/>
      <c r="K29" s="49"/>
      <c r="L29" s="50">
        <f>SUM(L21:L28)</f>
        <v>113.78</v>
      </c>
    </row>
    <row r="30" spans="1:12" ht="21.75" customHeight="1" x14ac:dyDescent="0.25">
      <c r="A30" s="20"/>
      <c r="B30" s="915"/>
      <c r="C30" s="915"/>
      <c r="D30" s="915"/>
      <c r="E30" s="915"/>
      <c r="F30" s="915"/>
      <c r="G30" s="915"/>
      <c r="H30" s="915"/>
      <c r="I30" s="915"/>
      <c r="J30" s="915"/>
      <c r="K30" s="915"/>
      <c r="L30" s="915"/>
    </row>
    <row r="31" spans="1:12" ht="21.75" customHeight="1" x14ac:dyDescent="0.25">
      <c r="A31" s="20"/>
      <c r="B31" s="1010" t="s">
        <v>138</v>
      </c>
      <c r="C31" s="1010"/>
      <c r="D31" s="1010"/>
      <c r="E31" s="1010"/>
      <c r="F31" s="1010"/>
      <c r="G31" s="1010"/>
      <c r="H31" s="1010"/>
      <c r="I31" s="1010"/>
      <c r="J31" s="1010"/>
      <c r="K31" s="1010"/>
      <c r="L31" s="1010"/>
    </row>
    <row r="32" spans="1:12" ht="21.75" customHeight="1" x14ac:dyDescent="0.25">
      <c r="A32" s="20"/>
      <c r="B32" s="1011" t="s">
        <v>139</v>
      </c>
      <c r="C32" s="1011"/>
      <c r="D32" s="1011"/>
      <c r="E32" s="1011"/>
      <c r="F32" s="1011"/>
      <c r="G32" s="1011"/>
      <c r="H32" s="1011"/>
      <c r="I32" s="1011"/>
      <c r="J32" s="1011"/>
      <c r="K32" s="1011"/>
      <c r="L32" s="1011"/>
    </row>
    <row r="33" spans="1:12" ht="21.75" customHeight="1" x14ac:dyDescent="0.25">
      <c r="A33" s="20"/>
      <c r="B33" s="51" t="s">
        <v>120</v>
      </c>
      <c r="C33" s="918" t="s">
        <v>140</v>
      </c>
      <c r="D33" s="918"/>
      <c r="E33" s="918"/>
      <c r="F33" s="918"/>
      <c r="G33" s="918"/>
      <c r="H33" s="918"/>
      <c r="I33" s="918"/>
      <c r="J33" s="918"/>
      <c r="K33" s="52">
        <v>8.3299999999999999E-2</v>
      </c>
      <c r="L33" s="53">
        <f>L29*K33</f>
        <v>9.4778739999999999</v>
      </c>
    </row>
    <row r="34" spans="1:12" ht="21.75" customHeight="1" x14ac:dyDescent="0.25">
      <c r="A34" s="20"/>
      <c r="B34" s="51" t="s">
        <v>122</v>
      </c>
      <c r="C34" s="918" t="s">
        <v>141</v>
      </c>
      <c r="D34" s="918"/>
      <c r="E34" s="918"/>
      <c r="F34" s="918"/>
      <c r="G34" s="918"/>
      <c r="H34" s="918"/>
      <c r="I34" s="918"/>
      <c r="J34" s="918"/>
      <c r="K34" s="52">
        <v>0.121</v>
      </c>
      <c r="L34" s="53">
        <f>L29*K34</f>
        <v>13.767379999999999</v>
      </c>
    </row>
    <row r="35" spans="1:12" ht="21.75" customHeight="1" x14ac:dyDescent="0.25">
      <c r="A35" s="20"/>
      <c r="B35" s="51" t="s">
        <v>125</v>
      </c>
      <c r="C35" s="918" t="s">
        <v>142</v>
      </c>
      <c r="D35" s="918"/>
      <c r="E35" s="918"/>
      <c r="F35" s="918"/>
      <c r="G35" s="918"/>
      <c r="H35" s="918"/>
      <c r="I35" s="918"/>
      <c r="J35" s="918"/>
      <c r="K35" s="52">
        <f>(K33+K34)*K39</f>
        <v>7.518240000000001E-2</v>
      </c>
      <c r="L35" s="53">
        <f>L29*K35</f>
        <v>8.554253472000001</v>
      </c>
    </row>
    <row r="36" spans="1:12" ht="21.75" customHeight="1" x14ac:dyDescent="0.25">
      <c r="A36" s="20"/>
      <c r="B36" s="54"/>
      <c r="C36" s="919"/>
      <c r="D36" s="919"/>
      <c r="E36" s="919"/>
      <c r="F36" s="919"/>
      <c r="G36" s="919"/>
      <c r="H36" s="919"/>
      <c r="I36" s="919"/>
      <c r="J36" s="919"/>
      <c r="K36" s="55">
        <f>K33+K34+K35</f>
        <v>0.27948240000000002</v>
      </c>
      <c r="L36" s="56">
        <f>L29*K36</f>
        <v>31.799507472000002</v>
      </c>
    </row>
    <row r="37" spans="1:12" ht="21.75" customHeight="1" x14ac:dyDescent="0.25">
      <c r="A37" s="20"/>
      <c r="B37" s="920"/>
      <c r="C37" s="920"/>
      <c r="D37" s="920"/>
      <c r="E37" s="920"/>
      <c r="F37" s="920"/>
      <c r="G37" s="920"/>
      <c r="H37" s="920"/>
      <c r="I37" s="920"/>
      <c r="J37" s="920"/>
      <c r="K37" s="920"/>
      <c r="L37" s="920"/>
    </row>
    <row r="38" spans="1:12" ht="21.75" customHeight="1" x14ac:dyDescent="0.25">
      <c r="A38" s="20"/>
      <c r="B38" s="1012" t="s">
        <v>143</v>
      </c>
      <c r="C38" s="1012"/>
      <c r="D38" s="1012"/>
      <c r="E38" s="1012"/>
      <c r="F38" s="1012"/>
      <c r="G38" s="1012"/>
      <c r="H38" s="1012"/>
      <c r="I38" s="1012"/>
      <c r="J38" s="1012"/>
      <c r="K38" s="1012"/>
      <c r="L38" s="1012"/>
    </row>
    <row r="39" spans="1:12" ht="21.75" customHeight="1" x14ac:dyDescent="0.25">
      <c r="A39" s="20"/>
      <c r="B39" s="57" t="s">
        <v>144</v>
      </c>
      <c r="C39" s="20"/>
      <c r="D39" s="20"/>
      <c r="E39" s="20"/>
      <c r="F39" s="20"/>
      <c r="G39" s="20"/>
      <c r="H39" s="20"/>
      <c r="I39" s="20"/>
      <c r="J39" s="20"/>
      <c r="K39" s="58">
        <f>SUM(K40:K47)</f>
        <v>0.3680000000000001</v>
      </c>
      <c r="L39" s="59">
        <f>SUM(L40:L47)</f>
        <v>41.871040000000001</v>
      </c>
    </row>
    <row r="40" spans="1:12" ht="21.75" customHeight="1" x14ac:dyDescent="0.25">
      <c r="A40" s="20"/>
      <c r="B40" s="33" t="s">
        <v>120</v>
      </c>
      <c r="C40" s="922" t="s">
        <v>145</v>
      </c>
      <c r="D40" s="922"/>
      <c r="E40" s="922"/>
      <c r="F40" s="922"/>
      <c r="G40" s="922"/>
      <c r="H40" s="922"/>
      <c r="I40" s="922"/>
      <c r="J40" s="922"/>
      <c r="K40" s="60">
        <v>0.2</v>
      </c>
      <c r="L40" s="44">
        <f t="shared" ref="L40:L47" si="0">K40*$L$29</f>
        <v>22.756</v>
      </c>
    </row>
    <row r="41" spans="1:12" ht="21.75" customHeight="1" x14ac:dyDescent="0.25">
      <c r="A41" s="20"/>
      <c r="B41" s="33" t="s">
        <v>122</v>
      </c>
      <c r="C41" s="922" t="s">
        <v>146</v>
      </c>
      <c r="D41" s="922"/>
      <c r="E41" s="922"/>
      <c r="F41" s="922"/>
      <c r="G41" s="922"/>
      <c r="H41" s="922"/>
      <c r="I41" s="922"/>
      <c r="J41" s="922"/>
      <c r="K41" s="60">
        <v>1.4999999999999999E-2</v>
      </c>
      <c r="L41" s="44">
        <f t="shared" si="0"/>
        <v>1.7066999999999999</v>
      </c>
    </row>
    <row r="42" spans="1:12" ht="21.75" customHeight="1" x14ac:dyDescent="0.25">
      <c r="A42" s="20"/>
      <c r="B42" s="33" t="s">
        <v>125</v>
      </c>
      <c r="C42" s="922" t="s">
        <v>147</v>
      </c>
      <c r="D42" s="922"/>
      <c r="E42" s="922"/>
      <c r="F42" s="922"/>
      <c r="G42" s="922"/>
      <c r="H42" s="922"/>
      <c r="I42" s="922"/>
      <c r="J42" s="922"/>
      <c r="K42" s="60">
        <v>0.01</v>
      </c>
      <c r="L42" s="44">
        <f t="shared" si="0"/>
        <v>1.1378000000000001</v>
      </c>
    </row>
    <row r="43" spans="1:12" ht="21.75" customHeight="1" x14ac:dyDescent="0.25">
      <c r="A43" s="20"/>
      <c r="B43" s="33" t="s">
        <v>130</v>
      </c>
      <c r="C43" s="922" t="s">
        <v>148</v>
      </c>
      <c r="D43" s="922"/>
      <c r="E43" s="922"/>
      <c r="F43" s="922"/>
      <c r="G43" s="922"/>
      <c r="H43" s="922"/>
      <c r="I43" s="922"/>
      <c r="J43" s="922"/>
      <c r="K43" s="60">
        <v>2E-3</v>
      </c>
      <c r="L43" s="44">
        <f t="shared" si="0"/>
        <v>0.22756000000000001</v>
      </c>
    </row>
    <row r="44" spans="1:12" ht="21.75" customHeight="1" x14ac:dyDescent="0.25">
      <c r="A44" s="20"/>
      <c r="B44" s="33" t="s">
        <v>132</v>
      </c>
      <c r="C44" s="922" t="s">
        <v>149</v>
      </c>
      <c r="D44" s="922"/>
      <c r="E44" s="922"/>
      <c r="F44" s="922"/>
      <c r="G44" s="922"/>
      <c r="H44" s="922"/>
      <c r="I44" s="922"/>
      <c r="J44" s="922"/>
      <c r="K44" s="60">
        <v>2.5000000000000001E-2</v>
      </c>
      <c r="L44" s="44">
        <f t="shared" si="0"/>
        <v>2.8445</v>
      </c>
    </row>
    <row r="45" spans="1:12" ht="21.75" customHeight="1" x14ac:dyDescent="0.25">
      <c r="A45" s="20"/>
      <c r="B45" s="33" t="s">
        <v>133</v>
      </c>
      <c r="C45" s="922" t="s">
        <v>150</v>
      </c>
      <c r="D45" s="922"/>
      <c r="E45" s="922"/>
      <c r="F45" s="922"/>
      <c r="G45" s="922"/>
      <c r="H45" s="922"/>
      <c r="I45" s="922"/>
      <c r="J45" s="922"/>
      <c r="K45" s="60">
        <v>0.08</v>
      </c>
      <c r="L45" s="44">
        <f t="shared" si="0"/>
        <v>9.1024000000000012</v>
      </c>
    </row>
    <row r="46" spans="1:12"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3.4133999999999998</v>
      </c>
    </row>
    <row r="47" spans="1:12" ht="21.75" customHeight="1" x14ac:dyDescent="0.25">
      <c r="A47" s="20"/>
      <c r="B47" s="33" t="s">
        <v>153</v>
      </c>
      <c r="C47" s="63" t="s">
        <v>154</v>
      </c>
      <c r="D47" s="64"/>
      <c r="E47" s="64"/>
      <c r="F47" s="64"/>
      <c r="G47" s="64"/>
      <c r="H47" s="64"/>
      <c r="I47" s="64"/>
      <c r="J47" s="65"/>
      <c r="K47" s="60">
        <v>6.0000000000000001E-3</v>
      </c>
      <c r="L47" s="44">
        <f t="shared" si="0"/>
        <v>0.68268000000000006</v>
      </c>
    </row>
    <row r="48" spans="1:12" ht="21.75" customHeight="1" x14ac:dyDescent="0.25">
      <c r="A48" s="20"/>
      <c r="B48" s="915"/>
      <c r="C48" s="915"/>
      <c r="D48" s="915"/>
      <c r="E48" s="915"/>
      <c r="F48" s="915"/>
      <c r="G48" s="915"/>
      <c r="H48" s="915"/>
      <c r="I48" s="915"/>
      <c r="J48" s="915"/>
      <c r="K48" s="915"/>
      <c r="L48" s="915"/>
    </row>
    <row r="49" spans="1:12" ht="21.75" customHeight="1" x14ac:dyDescent="0.25">
      <c r="A49" s="20"/>
      <c r="B49" s="1010" t="s">
        <v>155</v>
      </c>
      <c r="C49" s="1010"/>
      <c r="D49" s="1010"/>
      <c r="E49" s="1010"/>
      <c r="F49" s="1010"/>
      <c r="G49" s="1010"/>
      <c r="H49" s="1010"/>
      <c r="I49" s="1010"/>
      <c r="J49" s="1010"/>
      <c r="K49" s="1010"/>
      <c r="L49" s="1010"/>
    </row>
    <row r="50" spans="1:12" ht="21.75" customHeight="1" x14ac:dyDescent="0.25">
      <c r="A50" s="20"/>
      <c r="B50" s="33" t="s">
        <v>120</v>
      </c>
      <c r="C50" s="924" t="s">
        <v>156</v>
      </c>
      <c r="D50" s="924"/>
      <c r="E50" s="924"/>
      <c r="F50" s="924"/>
      <c r="G50" s="924"/>
      <c r="H50" s="924"/>
      <c r="I50" s="924"/>
      <c r="J50" s="924"/>
      <c r="K50" s="924"/>
      <c r="L50" s="66">
        <f>'DADOS INICIAIS'!K24</f>
        <v>0</v>
      </c>
    </row>
    <row r="51" spans="1:12" ht="21.75" customHeight="1" x14ac:dyDescent="0.25">
      <c r="A51" s="20"/>
      <c r="B51" s="33" t="s">
        <v>122</v>
      </c>
      <c r="C51" s="924" t="s">
        <v>157</v>
      </c>
      <c r="D51" s="924"/>
      <c r="E51" s="924"/>
      <c r="F51" s="924"/>
      <c r="G51" s="924"/>
      <c r="H51" s="924"/>
      <c r="I51" s="924"/>
      <c r="J51" s="924"/>
      <c r="K51" s="924"/>
      <c r="L51" s="66">
        <f>'DADOS INICIAIS'!K31</f>
        <v>0</v>
      </c>
    </row>
    <row r="52" spans="1:12" ht="21.75" customHeight="1" x14ac:dyDescent="0.25">
      <c r="A52" s="20"/>
      <c r="B52" s="33" t="s">
        <v>125</v>
      </c>
      <c r="C52" s="924" t="s">
        <v>37</v>
      </c>
      <c r="D52" s="924"/>
      <c r="E52" s="924"/>
      <c r="F52" s="924"/>
      <c r="G52" s="924"/>
      <c r="H52" s="924"/>
      <c r="I52" s="924"/>
      <c r="J52" s="924"/>
      <c r="K52" s="924"/>
      <c r="L52" s="66">
        <f>'DADOS INICIAIS'!K34</f>
        <v>0</v>
      </c>
    </row>
    <row r="53" spans="1:12" ht="21.75" customHeight="1" x14ac:dyDescent="0.25">
      <c r="A53" s="20"/>
      <c r="B53" s="33" t="s">
        <v>130</v>
      </c>
      <c r="C53" s="924" t="s">
        <v>158</v>
      </c>
      <c r="D53" s="924"/>
      <c r="E53" s="924"/>
      <c r="F53" s="924"/>
      <c r="G53" s="924"/>
      <c r="H53" s="924"/>
      <c r="I53" s="924"/>
      <c r="J53" s="924"/>
      <c r="K53" s="924"/>
      <c r="L53" s="66">
        <f>'DADOS INICIAIS'!K37</f>
        <v>0</v>
      </c>
    </row>
    <row r="54" spans="1:12" ht="21.75" customHeight="1" x14ac:dyDescent="0.25">
      <c r="A54" s="20"/>
      <c r="B54" s="33" t="s">
        <v>132</v>
      </c>
      <c r="C54" s="924" t="s">
        <v>159</v>
      </c>
      <c r="D54" s="924"/>
      <c r="E54" s="924"/>
      <c r="F54" s="924"/>
      <c r="G54" s="924"/>
      <c r="H54" s="924"/>
      <c r="I54" s="924"/>
      <c r="J54" s="924"/>
      <c r="K54" s="924"/>
      <c r="L54" s="66">
        <f>'DADOS INICIAIS'!K40</f>
        <v>0</v>
      </c>
    </row>
    <row r="55" spans="1:12" ht="21.75" customHeight="1" x14ac:dyDescent="0.25">
      <c r="A55" s="20"/>
      <c r="B55" s="33" t="s">
        <v>133</v>
      </c>
      <c r="C55" s="924" t="s">
        <v>160</v>
      </c>
      <c r="D55" s="924"/>
      <c r="E55" s="924"/>
      <c r="F55" s="924"/>
      <c r="G55" s="924"/>
      <c r="H55" s="924"/>
      <c r="I55" s="924"/>
      <c r="J55" s="924"/>
      <c r="K55" s="924"/>
      <c r="L55" s="66">
        <f>'DADOS INICIAIS'!K28</f>
        <v>0</v>
      </c>
    </row>
    <row r="56" spans="1:12" ht="21.75" customHeight="1" x14ac:dyDescent="0.25">
      <c r="A56" s="20"/>
      <c r="B56" s="33" t="s">
        <v>135</v>
      </c>
      <c r="C56" s="924" t="str">
        <f>'DADOS INICIAIS'!C46</f>
        <v>especificar</v>
      </c>
      <c r="D56" s="924"/>
      <c r="E56" s="924"/>
      <c r="F56" s="924"/>
      <c r="G56" s="924"/>
      <c r="H56" s="924"/>
      <c r="I56" s="924"/>
      <c r="J56" s="924"/>
      <c r="K56" s="924"/>
      <c r="L56" s="66">
        <f>'DADOS INICIAIS'!K46</f>
        <v>0</v>
      </c>
    </row>
    <row r="57" spans="1:12" ht="21.75" customHeight="1" x14ac:dyDescent="0.25">
      <c r="A57" s="20"/>
      <c r="B57" s="33" t="s">
        <v>153</v>
      </c>
      <c r="C57" s="924" t="str">
        <f>'DADOS INICIAIS'!C49</f>
        <v>especificar</v>
      </c>
      <c r="D57" s="924"/>
      <c r="E57" s="924"/>
      <c r="F57" s="924"/>
      <c r="G57" s="924"/>
      <c r="H57" s="924"/>
      <c r="I57" s="924"/>
      <c r="J57" s="924"/>
      <c r="K57" s="924"/>
      <c r="L57" s="66">
        <f>-'DADOS INICIAIS'!K49</f>
        <v>0</v>
      </c>
    </row>
    <row r="58" spans="1:12" ht="21.75" customHeight="1" x14ac:dyDescent="0.25">
      <c r="A58" s="20"/>
      <c r="B58" s="33" t="s">
        <v>161</v>
      </c>
      <c r="C58" s="910"/>
      <c r="D58" s="910"/>
      <c r="E58" s="910"/>
      <c r="F58" s="910"/>
      <c r="G58" s="910"/>
      <c r="H58" s="910"/>
      <c r="I58" s="910"/>
      <c r="J58" s="910"/>
      <c r="K58" s="910"/>
      <c r="L58" s="164"/>
    </row>
    <row r="59" spans="1:12" ht="21.75" customHeight="1" x14ac:dyDescent="0.25">
      <c r="A59" s="20"/>
      <c r="B59" s="33"/>
      <c r="C59" s="919" t="s">
        <v>162</v>
      </c>
      <c r="D59" s="919"/>
      <c r="E59" s="919"/>
      <c r="F59" s="919"/>
      <c r="G59" s="919"/>
      <c r="H59" s="919"/>
      <c r="I59" s="919"/>
      <c r="J59" s="919"/>
      <c r="K59" s="919"/>
      <c r="L59" s="56">
        <f>SUM(L50:L58)</f>
        <v>0</v>
      </c>
    </row>
    <row r="60" spans="1:12" ht="21.75" customHeight="1" x14ac:dyDescent="0.25">
      <c r="A60" s="20"/>
      <c r="B60" s="920"/>
      <c r="C60" s="920"/>
      <c r="D60" s="920"/>
      <c r="E60" s="920"/>
      <c r="F60" s="920"/>
      <c r="G60" s="920"/>
      <c r="H60" s="920"/>
      <c r="I60" s="920"/>
      <c r="J60" s="920"/>
      <c r="K60" s="920"/>
      <c r="L60" s="920"/>
    </row>
    <row r="61" spans="1:12" ht="21.75" customHeight="1" x14ac:dyDescent="0.25">
      <c r="A61" s="20"/>
      <c r="B61" s="1012" t="s">
        <v>163</v>
      </c>
      <c r="C61" s="1012"/>
      <c r="D61" s="1012"/>
      <c r="E61" s="1012"/>
      <c r="F61" s="1012"/>
      <c r="G61" s="1012"/>
      <c r="H61" s="1012"/>
      <c r="I61" s="1012"/>
      <c r="J61" s="1012"/>
      <c r="K61" s="1012"/>
      <c r="L61" s="1012"/>
    </row>
    <row r="62" spans="1:12" ht="21.75" customHeight="1" x14ac:dyDescent="0.25">
      <c r="A62" s="20"/>
      <c r="B62" s="67" t="s">
        <v>164</v>
      </c>
      <c r="C62" s="925" t="s">
        <v>165</v>
      </c>
      <c r="D62" s="925"/>
      <c r="E62" s="925"/>
      <c r="F62" s="925"/>
      <c r="G62" s="925"/>
      <c r="H62" s="925"/>
      <c r="I62" s="925"/>
      <c r="J62" s="925"/>
      <c r="K62" s="68">
        <f>K36</f>
        <v>0.27948240000000002</v>
      </c>
      <c r="L62" s="69">
        <f>K62*L29</f>
        <v>31.799507472000002</v>
      </c>
    </row>
    <row r="63" spans="1:12" ht="21.75" customHeight="1" x14ac:dyDescent="0.25">
      <c r="A63" s="20"/>
      <c r="B63" s="67" t="s">
        <v>166</v>
      </c>
      <c r="C63" s="926" t="s">
        <v>167</v>
      </c>
      <c r="D63" s="926"/>
      <c r="E63" s="926"/>
      <c r="F63" s="926"/>
      <c r="G63" s="926"/>
      <c r="H63" s="926"/>
      <c r="I63" s="926"/>
      <c r="J63" s="926"/>
      <c r="K63" s="68">
        <f>K39</f>
        <v>0.3680000000000001</v>
      </c>
      <c r="L63" s="69">
        <f>K63*L29</f>
        <v>41.871040000000015</v>
      </c>
    </row>
    <row r="64" spans="1:12" ht="21.75" customHeight="1" x14ac:dyDescent="0.25">
      <c r="A64" s="20"/>
      <c r="B64" s="67" t="s">
        <v>168</v>
      </c>
      <c r="C64" s="926" t="s">
        <v>169</v>
      </c>
      <c r="D64" s="926"/>
      <c r="E64" s="926"/>
      <c r="F64" s="926"/>
      <c r="G64" s="926"/>
      <c r="H64" s="926"/>
      <c r="I64" s="926"/>
      <c r="J64" s="926"/>
      <c r="K64" s="926"/>
      <c r="L64" s="69">
        <f>L59</f>
        <v>0</v>
      </c>
    </row>
    <row r="65" spans="1:12" ht="21.75" customHeight="1" x14ac:dyDescent="0.25">
      <c r="A65" s="20"/>
      <c r="B65" s="70"/>
      <c r="C65" s="927" t="s">
        <v>162</v>
      </c>
      <c r="D65" s="927"/>
      <c r="E65" s="927"/>
      <c r="F65" s="927"/>
      <c r="G65" s="927"/>
      <c r="H65" s="927"/>
      <c r="I65" s="927"/>
      <c r="J65" s="927"/>
      <c r="K65" s="927"/>
      <c r="L65" s="71">
        <f>L62+L63+L64</f>
        <v>73.67054747200001</v>
      </c>
    </row>
    <row r="66" spans="1:12" s="73" customFormat="1" ht="21.75" customHeight="1" x14ac:dyDescent="0.25">
      <c r="A66" s="72"/>
      <c r="B66" s="915"/>
      <c r="C66" s="915"/>
      <c r="D66" s="915"/>
      <c r="E66" s="915"/>
      <c r="F66" s="915"/>
      <c r="G66" s="915"/>
      <c r="H66" s="915"/>
      <c r="I66" s="915"/>
      <c r="J66" s="915"/>
      <c r="K66" s="915"/>
      <c r="L66" s="915"/>
    </row>
    <row r="67" spans="1:12" ht="21.75" customHeight="1" x14ac:dyDescent="0.25">
      <c r="A67" s="72"/>
      <c r="B67" s="1010" t="s">
        <v>170</v>
      </c>
      <c r="C67" s="1010"/>
      <c r="D67" s="1010"/>
      <c r="E67" s="1010"/>
      <c r="F67" s="1010"/>
      <c r="G67" s="1010"/>
      <c r="H67" s="1010"/>
      <c r="I67" s="1010"/>
      <c r="J67" s="1010"/>
      <c r="K67" s="1010"/>
      <c r="L67" s="1010"/>
    </row>
    <row r="68" spans="1:12" ht="21.75" customHeight="1" x14ac:dyDescent="0.25">
      <c r="A68" s="72"/>
      <c r="B68" s="33" t="s">
        <v>120</v>
      </c>
      <c r="C68" s="74" t="s">
        <v>171</v>
      </c>
      <c r="D68" s="75"/>
      <c r="E68" s="3">
        <v>30</v>
      </c>
      <c r="F68" s="2" t="s">
        <v>172</v>
      </c>
      <c r="G68" s="928" t="s">
        <v>173</v>
      </c>
      <c r="H68" s="928"/>
      <c r="I68" s="1013">
        <f>OFICIAL!I66</f>
        <v>0.05</v>
      </c>
      <c r="J68" s="1013"/>
      <c r="K68" s="76">
        <v>0</v>
      </c>
      <c r="L68" s="66">
        <f t="shared" ref="L68:L74" si="1">K68*$L$29</f>
        <v>0</v>
      </c>
    </row>
    <row r="69" spans="1:12" ht="21.75" customHeight="1" x14ac:dyDescent="0.25">
      <c r="A69" s="72"/>
      <c r="B69" s="33" t="s">
        <v>122</v>
      </c>
      <c r="C69" s="930" t="s">
        <v>174</v>
      </c>
      <c r="D69" s="930"/>
      <c r="E69" s="930"/>
      <c r="F69" s="930"/>
      <c r="G69" s="930"/>
      <c r="H69" s="930"/>
      <c r="I69" s="930"/>
      <c r="J69" s="930"/>
      <c r="K69" s="76">
        <v>0</v>
      </c>
      <c r="L69" s="66">
        <f t="shared" si="1"/>
        <v>0</v>
      </c>
    </row>
    <row r="70" spans="1:12" ht="21.75" customHeight="1" x14ac:dyDescent="0.25">
      <c r="A70" s="72"/>
      <c r="B70" s="33" t="s">
        <v>125</v>
      </c>
      <c r="C70" s="930" t="s">
        <v>175</v>
      </c>
      <c r="D70" s="930"/>
      <c r="E70" s="930"/>
      <c r="F70" s="930"/>
      <c r="G70" s="930"/>
      <c r="H70" s="930"/>
      <c r="I70" s="930"/>
      <c r="J70" s="930"/>
      <c r="K70" s="77">
        <v>0</v>
      </c>
      <c r="L70" s="66">
        <f t="shared" si="1"/>
        <v>0</v>
      </c>
    </row>
    <row r="71" spans="1:12" ht="21.75" customHeight="1" x14ac:dyDescent="0.25">
      <c r="A71" s="72"/>
      <c r="B71" s="33" t="s">
        <v>130</v>
      </c>
      <c r="C71" s="930" t="s">
        <v>176</v>
      </c>
      <c r="D71" s="930"/>
      <c r="E71" s="930"/>
      <c r="F71" s="930"/>
      <c r="G71" s="930"/>
      <c r="H71" s="930"/>
      <c r="I71" s="930"/>
      <c r="J71" s="930"/>
      <c r="K71" s="76">
        <v>0</v>
      </c>
      <c r="L71" s="66">
        <f t="shared" si="1"/>
        <v>0</v>
      </c>
    </row>
    <row r="72" spans="1:12" ht="21.75" customHeight="1" x14ac:dyDescent="0.25">
      <c r="A72" s="72"/>
      <c r="B72" s="33" t="s">
        <v>133</v>
      </c>
      <c r="C72" s="930" t="s">
        <v>177</v>
      </c>
      <c r="D72" s="930"/>
      <c r="E72" s="930"/>
      <c r="F72" s="930"/>
      <c r="G72" s="930"/>
      <c r="H72" s="930"/>
      <c r="I72" s="930"/>
      <c r="J72" s="930"/>
      <c r="K72" s="77">
        <v>0</v>
      </c>
      <c r="L72" s="66">
        <f t="shared" si="1"/>
        <v>0</v>
      </c>
    </row>
    <row r="73" spans="1:12" ht="21.75" customHeight="1" x14ac:dyDescent="0.25">
      <c r="A73" s="72"/>
      <c r="B73" s="33" t="s">
        <v>135</v>
      </c>
      <c r="C73" s="930" t="s">
        <v>178</v>
      </c>
      <c r="D73" s="930"/>
      <c r="E73" s="930"/>
      <c r="F73" s="930"/>
      <c r="G73" s="930"/>
      <c r="H73" s="930"/>
      <c r="I73" s="930"/>
      <c r="J73" s="930"/>
      <c r="K73" s="77">
        <v>0</v>
      </c>
      <c r="L73" s="66">
        <f t="shared" si="1"/>
        <v>0</v>
      </c>
    </row>
    <row r="74" spans="1:12" ht="21.75" customHeight="1" x14ac:dyDescent="0.25">
      <c r="A74" s="72"/>
      <c r="B74" s="33" t="s">
        <v>153</v>
      </c>
      <c r="C74" s="930" t="s">
        <v>179</v>
      </c>
      <c r="D74" s="930"/>
      <c r="E74" s="930"/>
      <c r="F74" s="930"/>
      <c r="G74" s="930"/>
      <c r="H74" s="930"/>
      <c r="I74" s="930"/>
      <c r="J74" s="930"/>
      <c r="K74" s="77">
        <v>0</v>
      </c>
      <c r="L74" s="66">
        <f t="shared" si="1"/>
        <v>0</v>
      </c>
    </row>
    <row r="75" spans="1:12" ht="21.75" customHeight="1" x14ac:dyDescent="0.25">
      <c r="A75" s="72"/>
      <c r="B75" s="912" t="s">
        <v>162</v>
      </c>
      <c r="C75" s="912"/>
      <c r="D75" s="912"/>
      <c r="E75" s="912"/>
      <c r="F75" s="912"/>
      <c r="G75" s="912"/>
      <c r="H75" s="912"/>
      <c r="I75" s="912"/>
      <c r="J75" s="912"/>
      <c r="K75" s="78"/>
      <c r="L75" s="79">
        <f>L68+L69+L70+L71+L72+L73+L74</f>
        <v>0</v>
      </c>
    </row>
    <row r="76" spans="1:12" ht="21.75" customHeight="1" x14ac:dyDescent="0.25">
      <c r="A76" s="72"/>
      <c r="B76" s="915"/>
      <c r="C76" s="915"/>
      <c r="D76" s="915"/>
      <c r="E76" s="915"/>
      <c r="F76" s="915"/>
      <c r="G76" s="915"/>
      <c r="H76" s="915"/>
      <c r="I76" s="915"/>
      <c r="J76" s="915"/>
      <c r="K76" s="915"/>
      <c r="L76" s="915"/>
    </row>
    <row r="77" spans="1:12" ht="21.75" customHeight="1" x14ac:dyDescent="0.25">
      <c r="A77" s="72"/>
      <c r="B77" s="1010" t="s">
        <v>180</v>
      </c>
      <c r="C77" s="1010"/>
      <c r="D77" s="1010"/>
      <c r="E77" s="1010"/>
      <c r="F77" s="1010"/>
      <c r="G77" s="1010"/>
      <c r="H77" s="1010"/>
      <c r="I77" s="1010"/>
      <c r="J77" s="1010"/>
      <c r="K77" s="1010"/>
      <c r="L77" s="1010"/>
    </row>
    <row r="78" spans="1:12" ht="21.75" customHeight="1" x14ac:dyDescent="0.25">
      <c r="A78" s="72"/>
      <c r="B78" s="1010" t="s">
        <v>181</v>
      </c>
      <c r="C78" s="1010"/>
      <c r="D78" s="1010"/>
      <c r="E78" s="1010"/>
      <c r="F78" s="1010"/>
      <c r="G78" s="1010"/>
      <c r="H78" s="1010"/>
      <c r="I78" s="1010"/>
      <c r="J78" s="1010"/>
      <c r="K78" s="1010"/>
      <c r="L78" s="1010"/>
    </row>
    <row r="79" spans="1:12" ht="21.75" customHeight="1" x14ac:dyDescent="0.25">
      <c r="A79" s="72"/>
      <c r="B79" s="33" t="s">
        <v>120</v>
      </c>
      <c r="C79" s="928" t="s">
        <v>182</v>
      </c>
      <c r="D79" s="928"/>
      <c r="E79" s="928"/>
      <c r="F79" s="928"/>
      <c r="G79" s="928"/>
      <c r="H79" s="928"/>
      <c r="I79" s="928"/>
      <c r="J79" s="928"/>
      <c r="K79" s="77">
        <v>0</v>
      </c>
      <c r="L79" s="80">
        <f t="shared" ref="L79:L86" si="2">K79*$L$29</f>
        <v>0</v>
      </c>
    </row>
    <row r="80" spans="1:12" ht="21.75" customHeight="1" x14ac:dyDescent="0.25">
      <c r="A80" s="72"/>
      <c r="B80" s="33" t="s">
        <v>122</v>
      </c>
      <c r="C80" s="928" t="s">
        <v>183</v>
      </c>
      <c r="D80" s="928"/>
      <c r="E80" s="928"/>
      <c r="F80" s="2" t="s">
        <v>184</v>
      </c>
      <c r="G80" s="3">
        <f>OFICIAL!G76</f>
        <v>5</v>
      </c>
      <c r="H80" s="928" t="s">
        <v>185</v>
      </c>
      <c r="I80" s="928"/>
      <c r="J80" s="148">
        <f>OFICIAL!J76</f>
        <v>1</v>
      </c>
      <c r="K80" s="81">
        <v>0</v>
      </c>
      <c r="L80" s="80">
        <f t="shared" si="2"/>
        <v>0</v>
      </c>
    </row>
    <row r="81" spans="1:12" ht="21.75" customHeight="1" x14ac:dyDescent="0.25">
      <c r="A81" s="72"/>
      <c r="B81" s="33" t="s">
        <v>125</v>
      </c>
      <c r="C81" s="928" t="s">
        <v>186</v>
      </c>
      <c r="D81" s="928"/>
      <c r="E81" s="928"/>
      <c r="F81" s="2" t="s">
        <v>184</v>
      </c>
      <c r="G81" s="3">
        <f>OFICIAL!G77</f>
        <v>5</v>
      </c>
      <c r="H81" s="928" t="s">
        <v>185</v>
      </c>
      <c r="I81" s="928"/>
      <c r="J81" s="148">
        <f>OFICIAL!J77</f>
        <v>1</v>
      </c>
      <c r="K81" s="81">
        <v>0</v>
      </c>
      <c r="L81" s="80">
        <f t="shared" si="2"/>
        <v>0</v>
      </c>
    </row>
    <row r="82" spans="1:12" ht="21.75" customHeight="1" x14ac:dyDescent="0.25">
      <c r="A82" s="72"/>
      <c r="B82" s="33" t="s">
        <v>130</v>
      </c>
      <c r="C82" s="928" t="s">
        <v>187</v>
      </c>
      <c r="D82" s="928"/>
      <c r="E82" s="928"/>
      <c r="F82" s="2" t="s">
        <v>184</v>
      </c>
      <c r="G82" s="3">
        <f>OFICIAL!G78</f>
        <v>5</v>
      </c>
      <c r="H82" s="928" t="s">
        <v>185</v>
      </c>
      <c r="I82" s="928"/>
      <c r="J82" s="148">
        <f>OFICIAL!J78</f>
        <v>1.4999999999999999E-2</v>
      </c>
      <c r="K82" s="81">
        <v>0</v>
      </c>
      <c r="L82" s="80">
        <f t="shared" si="2"/>
        <v>0</v>
      </c>
    </row>
    <row r="83" spans="1:12" ht="21.75" customHeight="1" x14ac:dyDescent="0.25">
      <c r="A83" s="72"/>
      <c r="B83" s="33" t="s">
        <v>132</v>
      </c>
      <c r="C83" s="928" t="s">
        <v>188</v>
      </c>
      <c r="D83" s="928"/>
      <c r="E83" s="928"/>
      <c r="F83" s="2" t="s">
        <v>184</v>
      </c>
      <c r="G83" s="3">
        <f>OFICIAL!G79</f>
        <v>2</v>
      </c>
      <c r="H83" s="928" t="s">
        <v>185</v>
      </c>
      <c r="I83" s="928"/>
      <c r="J83" s="148">
        <f>OFICIAL!J79</f>
        <v>0.01</v>
      </c>
      <c r="K83" s="81">
        <v>0</v>
      </c>
      <c r="L83" s="80">
        <f t="shared" si="2"/>
        <v>0</v>
      </c>
    </row>
    <row r="84" spans="1:12" ht="21.75" customHeight="1" x14ac:dyDescent="0.25">
      <c r="A84" s="72"/>
      <c r="B84" s="33" t="s">
        <v>133</v>
      </c>
      <c r="C84" s="928" t="s">
        <v>189</v>
      </c>
      <c r="D84" s="928"/>
      <c r="E84" s="928"/>
      <c r="F84" s="2" t="s">
        <v>184</v>
      </c>
      <c r="G84" s="3">
        <f>OFICIAL!G80</f>
        <v>0</v>
      </c>
      <c r="H84" s="928" t="s">
        <v>185</v>
      </c>
      <c r="I84" s="928"/>
      <c r="J84" s="148">
        <f>OFICIAL!J80</f>
        <v>0.02</v>
      </c>
      <c r="K84" s="81">
        <v>0</v>
      </c>
      <c r="L84" s="80">
        <f t="shared" si="2"/>
        <v>0</v>
      </c>
    </row>
    <row r="85" spans="1:12" ht="21.75" customHeight="1" x14ac:dyDescent="0.25">
      <c r="A85" s="72"/>
      <c r="B85" s="33" t="s">
        <v>135</v>
      </c>
      <c r="C85" s="928" t="str">
        <f>OFICIAL!C81</f>
        <v>Outros (especificar)</v>
      </c>
      <c r="D85" s="928"/>
      <c r="E85" s="928"/>
      <c r="F85" s="2" t="s">
        <v>184</v>
      </c>
      <c r="G85" s="3">
        <f>OFICIAL!G81</f>
        <v>0</v>
      </c>
      <c r="H85" s="928" t="s">
        <v>185</v>
      </c>
      <c r="I85" s="928"/>
      <c r="J85" s="148">
        <f>OFICIAL!J81</f>
        <v>0</v>
      </c>
      <c r="K85" s="81">
        <v>0</v>
      </c>
      <c r="L85" s="80">
        <f t="shared" si="2"/>
        <v>0</v>
      </c>
    </row>
    <row r="86" spans="1:12" ht="21.75" customHeight="1" x14ac:dyDescent="0.25">
      <c r="A86" s="72"/>
      <c r="B86" s="33" t="s">
        <v>153</v>
      </c>
      <c r="C86" s="928" t="s">
        <v>190</v>
      </c>
      <c r="D86" s="928"/>
      <c r="E86" s="928"/>
      <c r="F86" s="928"/>
      <c r="G86" s="928"/>
      <c r="H86" s="928"/>
      <c r="I86" s="928"/>
      <c r="J86" s="928"/>
      <c r="K86" s="76">
        <v>0</v>
      </c>
      <c r="L86" s="80">
        <f t="shared" si="2"/>
        <v>0</v>
      </c>
    </row>
    <row r="87" spans="1:12" ht="21.75" customHeight="1" x14ac:dyDescent="0.25">
      <c r="A87" s="72"/>
      <c r="B87" s="912" t="s">
        <v>162</v>
      </c>
      <c r="C87" s="912"/>
      <c r="D87" s="912"/>
      <c r="E87" s="912"/>
      <c r="F87" s="912"/>
      <c r="G87" s="912"/>
      <c r="H87" s="912"/>
      <c r="I87" s="912"/>
      <c r="J87" s="912"/>
      <c r="K87" s="82">
        <f>SUM(K79:K86)</f>
        <v>0</v>
      </c>
      <c r="L87" s="83">
        <f>SUM(L79:L86)</f>
        <v>0</v>
      </c>
    </row>
    <row r="88" spans="1:12" ht="21.75" customHeight="1" x14ac:dyDescent="0.25">
      <c r="A88" s="72"/>
      <c r="B88" s="915"/>
      <c r="C88" s="915"/>
      <c r="D88" s="915"/>
      <c r="E88" s="915"/>
      <c r="F88" s="915"/>
      <c r="G88" s="915"/>
      <c r="H88" s="915"/>
      <c r="I88" s="915"/>
      <c r="J88" s="915"/>
      <c r="K88" s="915"/>
      <c r="L88" s="915"/>
    </row>
    <row r="89" spans="1:12" ht="21.75" customHeight="1" x14ac:dyDescent="0.25">
      <c r="A89" s="72"/>
      <c r="B89" s="1010" t="s">
        <v>191</v>
      </c>
      <c r="C89" s="1010"/>
      <c r="D89" s="1010"/>
      <c r="E89" s="1010"/>
      <c r="F89" s="1010"/>
      <c r="G89" s="1010"/>
      <c r="H89" s="1010"/>
      <c r="I89" s="1010"/>
      <c r="J89" s="1010"/>
      <c r="K89" s="1010"/>
      <c r="L89" s="1010"/>
    </row>
    <row r="90" spans="1:12" ht="21.75" customHeight="1" x14ac:dyDescent="0.25">
      <c r="A90" s="72"/>
      <c r="B90" s="33" t="s">
        <v>120</v>
      </c>
      <c r="C90" s="928" t="s">
        <v>192</v>
      </c>
      <c r="D90" s="928"/>
      <c r="E90" s="928"/>
      <c r="F90" s="928"/>
      <c r="G90" s="928"/>
      <c r="H90" s="928"/>
      <c r="I90" s="928"/>
      <c r="J90" s="928"/>
      <c r="K90" s="84"/>
      <c r="L90" s="83"/>
    </row>
    <row r="91" spans="1:12" ht="21.75" customHeight="1" x14ac:dyDescent="0.25">
      <c r="A91" s="72"/>
      <c r="B91" s="33" t="s">
        <v>122</v>
      </c>
      <c r="C91" s="928" t="s">
        <v>193</v>
      </c>
      <c r="D91" s="928"/>
      <c r="E91" s="928"/>
      <c r="F91" s="928"/>
      <c r="G91" s="928"/>
      <c r="H91" s="928"/>
      <c r="I91" s="928"/>
      <c r="J91" s="928"/>
      <c r="K91" s="84">
        <f>K90*K39</f>
        <v>0</v>
      </c>
      <c r="L91" s="83"/>
    </row>
    <row r="92" spans="1:12" ht="21.75" customHeight="1" x14ac:dyDescent="0.25">
      <c r="A92" s="72"/>
      <c r="B92" s="33"/>
      <c r="C92" s="928" t="s">
        <v>162</v>
      </c>
      <c r="D92" s="928"/>
      <c r="E92" s="928"/>
      <c r="F92" s="928"/>
      <c r="G92" s="928"/>
      <c r="H92" s="928"/>
      <c r="I92" s="928"/>
      <c r="J92" s="928"/>
      <c r="K92" s="2"/>
      <c r="L92" s="83">
        <f>SUM(L91+L90)</f>
        <v>0</v>
      </c>
    </row>
    <row r="93" spans="1:12" ht="21.75" customHeight="1" x14ac:dyDescent="0.25">
      <c r="A93" s="72"/>
      <c r="B93" s="915"/>
      <c r="C93" s="915"/>
      <c r="D93" s="915"/>
      <c r="E93" s="915"/>
      <c r="F93" s="915"/>
      <c r="G93" s="915"/>
      <c r="H93" s="915"/>
      <c r="I93" s="915"/>
      <c r="J93" s="915"/>
      <c r="K93" s="915"/>
      <c r="L93" s="915"/>
    </row>
    <row r="94" spans="1:12" ht="21.75" customHeight="1" x14ac:dyDescent="0.25">
      <c r="A94" s="72"/>
      <c r="B94" s="1010" t="s">
        <v>194</v>
      </c>
      <c r="C94" s="1010"/>
      <c r="D94" s="1010"/>
      <c r="E94" s="1010"/>
      <c r="F94" s="1010"/>
      <c r="G94" s="1010"/>
      <c r="H94" s="1010"/>
      <c r="I94" s="1010"/>
      <c r="J94" s="1010"/>
      <c r="K94" s="1010"/>
      <c r="L94" s="1010"/>
    </row>
    <row r="95" spans="1:12" ht="21.75" customHeight="1" x14ac:dyDescent="0.25">
      <c r="A95" s="72"/>
      <c r="B95" s="33" t="s">
        <v>195</v>
      </c>
      <c r="C95" s="931" t="s">
        <v>196</v>
      </c>
      <c r="D95" s="931"/>
      <c r="E95" s="931"/>
      <c r="F95" s="931"/>
      <c r="G95" s="931"/>
      <c r="H95" s="931"/>
      <c r="I95" s="931"/>
      <c r="J95" s="931"/>
      <c r="K95" s="2"/>
      <c r="L95" s="83">
        <f>L87</f>
        <v>0</v>
      </c>
    </row>
    <row r="96" spans="1:12" ht="21.75" customHeight="1" x14ac:dyDescent="0.25">
      <c r="A96" s="72"/>
      <c r="B96" s="33" t="s">
        <v>197</v>
      </c>
      <c r="C96" s="931" t="s">
        <v>198</v>
      </c>
      <c r="D96" s="931"/>
      <c r="E96" s="931"/>
      <c r="F96" s="931"/>
      <c r="G96" s="931"/>
      <c r="H96" s="931"/>
      <c r="I96" s="931"/>
      <c r="J96" s="931"/>
      <c r="K96" s="2"/>
      <c r="L96" s="83">
        <f>L92</f>
        <v>0</v>
      </c>
    </row>
    <row r="97" spans="1:12" ht="21.75" customHeight="1" x14ac:dyDescent="0.25">
      <c r="A97" s="72"/>
      <c r="B97" s="33"/>
      <c r="C97" s="928" t="s">
        <v>162</v>
      </c>
      <c r="D97" s="928"/>
      <c r="E97" s="928"/>
      <c r="F97" s="928"/>
      <c r="G97" s="928"/>
      <c r="H97" s="928"/>
      <c r="I97" s="928"/>
      <c r="J97" s="928"/>
      <c r="K97" s="2"/>
      <c r="L97" s="83">
        <f>L95+L96</f>
        <v>0</v>
      </c>
    </row>
    <row r="98" spans="1:12" ht="21.75" customHeight="1" x14ac:dyDescent="0.25">
      <c r="A98" s="72"/>
      <c r="B98" s="932"/>
      <c r="C98" s="932"/>
      <c r="D98" s="932"/>
      <c r="E98" s="932"/>
      <c r="F98" s="932"/>
      <c r="G98" s="932"/>
      <c r="H98" s="932"/>
      <c r="I98" s="932"/>
      <c r="J98" s="932"/>
      <c r="K98" s="932"/>
      <c r="L98" s="932"/>
    </row>
    <row r="99" spans="1:12" ht="21.75" customHeight="1" x14ac:dyDescent="0.25">
      <c r="A99" s="20"/>
      <c r="B99" s="933" t="s">
        <v>199</v>
      </c>
      <c r="C99" s="933"/>
      <c r="D99" s="933"/>
      <c r="E99" s="933"/>
      <c r="F99" s="933"/>
      <c r="G99" s="85"/>
      <c r="H99" s="85"/>
      <c r="I99" s="85"/>
      <c r="J99" s="85"/>
      <c r="K99" s="85"/>
      <c r="L99" s="86" t="s">
        <v>200</v>
      </c>
    </row>
    <row r="100" spans="1:12" ht="21.75" customHeight="1" x14ac:dyDescent="0.25">
      <c r="A100" s="20"/>
      <c r="B100" s="33" t="s">
        <v>120</v>
      </c>
      <c r="C100" s="1014" t="s">
        <v>201</v>
      </c>
      <c r="D100" s="1014"/>
      <c r="E100" s="1014"/>
      <c r="F100" s="1014"/>
      <c r="G100" s="1014"/>
      <c r="H100" s="1014"/>
      <c r="I100" s="1014"/>
      <c r="J100" s="1014"/>
      <c r="K100" s="1014"/>
      <c r="L100" s="34">
        <f>'DADOS INICIAIS'!K85</f>
        <v>0.16</v>
      </c>
    </row>
    <row r="101" spans="1:12" ht="21.75" customHeight="1" x14ac:dyDescent="0.25">
      <c r="A101" s="20"/>
      <c r="B101" s="33" t="s">
        <v>122</v>
      </c>
      <c r="C101" s="1015" t="s">
        <v>202</v>
      </c>
      <c r="D101" s="1015"/>
      <c r="E101" s="1015"/>
      <c r="F101" s="1015"/>
      <c r="G101" s="1015"/>
      <c r="H101" s="1015"/>
      <c r="I101" s="1015"/>
      <c r="J101" s="1015"/>
      <c r="K101" s="1015"/>
      <c r="L101" s="34">
        <v>0</v>
      </c>
    </row>
    <row r="102" spans="1:12" ht="21.75" customHeight="1" x14ac:dyDescent="0.25">
      <c r="A102" s="20"/>
      <c r="B102" s="912" t="s">
        <v>125</v>
      </c>
      <c r="C102" s="1016" t="s">
        <v>136</v>
      </c>
      <c r="D102" s="1016"/>
      <c r="E102" s="935">
        <f>OFICIAL!E98</f>
        <v>0</v>
      </c>
      <c r="F102" s="935"/>
      <c r="G102" s="935"/>
      <c r="H102" s="935"/>
      <c r="I102" s="935"/>
      <c r="J102" s="935"/>
      <c r="K102" s="935"/>
      <c r="L102" s="34">
        <f>OFICIAL!L98</f>
        <v>0</v>
      </c>
    </row>
    <row r="103" spans="1:12" ht="21.75" customHeight="1" x14ac:dyDescent="0.25">
      <c r="A103" s="20"/>
      <c r="B103" s="912"/>
      <c r="C103" s="1016"/>
      <c r="D103" s="1016"/>
      <c r="E103" s="936" t="str">
        <f>OFICIAL!E99</f>
        <v>--</v>
      </c>
      <c r="F103" s="936"/>
      <c r="G103" s="936"/>
      <c r="H103" s="936"/>
      <c r="I103" s="936"/>
      <c r="J103" s="936"/>
      <c r="K103" s="936"/>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0.16</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37" t="s">
        <v>205</v>
      </c>
      <c r="C106" s="937"/>
      <c r="D106" s="937"/>
      <c r="E106" s="937"/>
      <c r="F106" s="937"/>
      <c r="G106" s="937"/>
      <c r="H106" s="937"/>
      <c r="I106" s="937"/>
      <c r="J106" s="937"/>
      <c r="K106" s="937"/>
      <c r="L106" s="937"/>
    </row>
    <row r="107" spans="1:12" ht="21.75" customHeight="1" x14ac:dyDescent="0.25">
      <c r="A107" s="72"/>
      <c r="B107" s="938" t="s">
        <v>206</v>
      </c>
      <c r="C107" s="938"/>
      <c r="D107" s="938"/>
      <c r="E107" s="938"/>
      <c r="F107" s="938"/>
      <c r="G107" s="938"/>
      <c r="H107" s="938"/>
      <c r="I107" s="938"/>
      <c r="J107" s="938"/>
      <c r="K107" s="938"/>
      <c r="L107" s="86" t="s">
        <v>200</v>
      </c>
    </row>
    <row r="108" spans="1:12" ht="21.75" customHeight="1" x14ac:dyDescent="0.25">
      <c r="A108" s="72"/>
      <c r="B108" s="89" t="s">
        <v>120</v>
      </c>
      <c r="C108" s="939" t="s">
        <v>119</v>
      </c>
      <c r="D108" s="939"/>
      <c r="E108" s="939"/>
      <c r="F108" s="939"/>
      <c r="G108" s="939"/>
      <c r="H108" s="939"/>
      <c r="I108" s="939"/>
      <c r="J108" s="939"/>
      <c r="K108" s="939"/>
      <c r="L108" s="34">
        <f>L29</f>
        <v>113.78</v>
      </c>
    </row>
    <row r="109" spans="1:12" ht="21.75" customHeight="1" x14ac:dyDescent="0.25">
      <c r="A109" s="72"/>
      <c r="B109" s="89" t="s">
        <v>122</v>
      </c>
      <c r="C109" s="939" t="s">
        <v>207</v>
      </c>
      <c r="D109" s="939"/>
      <c r="E109" s="939"/>
      <c r="F109" s="939"/>
      <c r="G109" s="939"/>
      <c r="H109" s="939"/>
      <c r="I109" s="939"/>
      <c r="J109" s="939"/>
      <c r="K109" s="939"/>
      <c r="L109" s="34">
        <f>L65</f>
        <v>73.67054747200001</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0.16</v>
      </c>
    </row>
    <row r="113" spans="1:13" ht="21.75" customHeight="1" x14ac:dyDescent="0.25">
      <c r="A113" s="20"/>
      <c r="B113" s="938" t="s">
        <v>209</v>
      </c>
      <c r="C113" s="938"/>
      <c r="D113" s="938"/>
      <c r="E113" s="938"/>
      <c r="F113" s="938"/>
      <c r="G113" s="938"/>
      <c r="H113" s="938"/>
      <c r="I113" s="938"/>
      <c r="J113" s="938"/>
      <c r="K113" s="938"/>
      <c r="L113" s="88">
        <f>SUM(L108:L112)</f>
        <v>187.61054747200001</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11.256632848320001</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13.50308154374973</v>
      </c>
    </row>
    <row r="118" spans="1:13" ht="21.75" customHeight="1" x14ac:dyDescent="0.25">
      <c r="A118" s="20"/>
      <c r="B118" s="941" t="s">
        <v>125</v>
      </c>
      <c r="C118" s="22" t="s">
        <v>213</v>
      </c>
      <c r="D118" s="22"/>
      <c r="E118" s="22"/>
      <c r="F118" s="22"/>
      <c r="G118" s="22"/>
      <c r="H118" s="22"/>
      <c r="I118" s="22"/>
      <c r="J118" s="92" t="s">
        <v>60</v>
      </c>
      <c r="K118" s="942">
        <f>SUM(J119:J121)</f>
        <v>9.6500000000000002E-2</v>
      </c>
      <c r="L118" s="943">
        <f>K118*L125</f>
        <v>22.682601294834232</v>
      </c>
    </row>
    <row r="119" spans="1:13" ht="21.75" customHeight="1" x14ac:dyDescent="0.25">
      <c r="A119" s="20"/>
      <c r="B119" s="941"/>
      <c r="C119" s="37"/>
      <c r="D119" s="944" t="s">
        <v>214</v>
      </c>
      <c r="E119" s="944"/>
      <c r="F119" s="944"/>
      <c r="G119" s="93" t="s">
        <v>215</v>
      </c>
      <c r="H119" s="94"/>
      <c r="I119" s="94"/>
      <c r="J119" s="95">
        <f>'DADOS INICIAIS'!H96</f>
        <v>1.6500000000000001E-2</v>
      </c>
      <c r="K119" s="942"/>
      <c r="L119" s="943"/>
    </row>
    <row r="120" spans="1:13" ht="21.75" customHeight="1" x14ac:dyDescent="0.25">
      <c r="A120" s="20"/>
      <c r="B120" s="941"/>
      <c r="C120" s="20"/>
      <c r="D120" s="20"/>
      <c r="E120" s="20"/>
      <c r="F120" s="20"/>
      <c r="G120" s="93" t="s">
        <v>216</v>
      </c>
      <c r="H120" s="94"/>
      <c r="I120" s="94"/>
      <c r="J120" s="95">
        <f>'DADOS INICIAIS'!H97</f>
        <v>0.03</v>
      </c>
      <c r="K120" s="942"/>
      <c r="L120" s="943"/>
    </row>
    <row r="121" spans="1:13" ht="21.75" customHeight="1" x14ac:dyDescent="0.25">
      <c r="A121" s="20"/>
      <c r="B121" s="941"/>
      <c r="C121" s="20"/>
      <c r="D121" s="944" t="s">
        <v>217</v>
      </c>
      <c r="E121" s="944"/>
      <c r="F121" s="944"/>
      <c r="G121" s="93" t="s">
        <v>218</v>
      </c>
      <c r="H121" s="94"/>
      <c r="I121" s="94"/>
      <c r="J121" s="95">
        <f>'DADOS INICIAIS'!H98</f>
        <v>0.05</v>
      </c>
      <c r="K121" s="942"/>
      <c r="L121" s="943"/>
      <c r="M121" s="96"/>
    </row>
    <row r="122" spans="1:13" s="73" customFormat="1" ht="21.75" customHeight="1" x14ac:dyDescent="0.25">
      <c r="A122" s="72"/>
      <c r="B122" s="21" t="s">
        <v>219</v>
      </c>
      <c r="C122" s="24"/>
      <c r="D122" s="24"/>
      <c r="E122" s="24"/>
      <c r="F122" s="24"/>
      <c r="G122" s="24"/>
      <c r="H122" s="24"/>
      <c r="I122" s="24"/>
      <c r="J122" s="97"/>
      <c r="K122" s="97"/>
      <c r="L122" s="88">
        <f>SUM(L116:L118)</f>
        <v>47.442315686903967</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45" t="s">
        <v>221</v>
      </c>
      <c r="C125" s="945"/>
      <c r="D125" s="945"/>
      <c r="E125" s="945"/>
      <c r="F125" s="945"/>
      <c r="G125" s="945"/>
      <c r="H125" s="945"/>
      <c r="I125" s="99"/>
      <c r="J125" s="99"/>
      <c r="K125" s="99"/>
      <c r="L125" s="100">
        <f>(L113+L116+L117)/(1-K118)</f>
        <v>235.05286315890396</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46" t="s">
        <v>285</v>
      </c>
      <c r="C127" s="946"/>
      <c r="D127" s="946"/>
      <c r="E127" s="946"/>
      <c r="F127" s="946"/>
      <c r="G127" s="946"/>
      <c r="H127" s="946"/>
      <c r="I127" s="946"/>
      <c r="J127" s="946"/>
      <c r="K127" s="946"/>
      <c r="L127" s="946"/>
    </row>
    <row r="128" spans="1:13" ht="57" customHeight="1" x14ac:dyDescent="0.25">
      <c r="A128" s="20"/>
      <c r="B128" s="947" t="s">
        <v>223</v>
      </c>
      <c r="C128" s="947"/>
      <c r="D128" s="947"/>
      <c r="E128" s="948" t="s">
        <v>224</v>
      </c>
      <c r="F128" s="948"/>
      <c r="G128" s="948" t="s">
        <v>225</v>
      </c>
      <c r="H128" s="948"/>
      <c r="I128" s="948" t="s">
        <v>226</v>
      </c>
      <c r="J128" s="948"/>
      <c r="K128" s="102" t="s">
        <v>227</v>
      </c>
      <c r="L128" s="103" t="s">
        <v>228</v>
      </c>
    </row>
    <row r="129" spans="1:12" ht="21.75" customHeight="1" x14ac:dyDescent="0.25">
      <c r="A129" s="20"/>
      <c r="B129" s="950" t="s">
        <v>304</v>
      </c>
      <c r="C129" s="950"/>
      <c r="D129" s="950"/>
      <c r="E129" s="951">
        <f>L125</f>
        <v>235.05286315890396</v>
      </c>
      <c r="F129" s="951"/>
      <c r="G129" s="952">
        <v>1</v>
      </c>
      <c r="H129" s="952"/>
      <c r="I129" s="951">
        <f>G129*E129</f>
        <v>235.05286315890396</v>
      </c>
      <c r="J129" s="951"/>
      <c r="K129" s="104">
        <f>L12</f>
        <v>1</v>
      </c>
      <c r="L129" s="105">
        <f>ROUND(K129*I129,2)</f>
        <v>235.05</v>
      </c>
    </row>
    <row r="130" spans="1:12" ht="21.75" customHeight="1" x14ac:dyDescent="0.25">
      <c r="A130" s="20"/>
      <c r="B130" s="949" t="s">
        <v>305</v>
      </c>
      <c r="C130" s="949"/>
      <c r="D130" s="949"/>
      <c r="E130" s="949"/>
      <c r="F130" s="949"/>
      <c r="G130" s="949"/>
      <c r="H130" s="949"/>
      <c r="I130" s="949"/>
      <c r="J130" s="949"/>
      <c r="K130" s="949"/>
      <c r="L130" s="106">
        <f>L129</f>
        <v>235.05</v>
      </c>
    </row>
    <row r="131" spans="1:12" ht="21.75" customHeight="1" x14ac:dyDescent="0.25">
      <c r="A131" s="20"/>
      <c r="B131" s="949" t="s">
        <v>303</v>
      </c>
      <c r="C131" s="949"/>
      <c r="D131" s="949"/>
      <c r="E131" s="949"/>
      <c r="F131" s="949"/>
      <c r="G131" s="949"/>
      <c r="H131" s="949"/>
      <c r="I131" s="949"/>
      <c r="J131" s="949"/>
      <c r="K131" s="949"/>
      <c r="L131" s="106">
        <f>L130/220</f>
        <v>1.0684090909090909</v>
      </c>
    </row>
    <row r="132" spans="1:12" ht="21.75" customHeight="1" x14ac:dyDescent="0.25">
      <c r="A132" s="20"/>
      <c r="B132" s="1017"/>
      <c r="C132" s="1017"/>
      <c r="D132" s="1017"/>
      <c r="E132" s="1017"/>
      <c r="F132" s="1017"/>
      <c r="G132" s="1017"/>
      <c r="H132" s="1017"/>
      <c r="I132" s="1017"/>
      <c r="J132" s="1017"/>
      <c r="K132" s="1017"/>
      <c r="L132" s="165"/>
    </row>
    <row r="133" spans="1:12" ht="21.75" customHeight="1" x14ac:dyDescent="0.25">
      <c r="A133" s="20"/>
      <c r="B133" s="1017"/>
      <c r="C133" s="1017"/>
      <c r="D133" s="1017"/>
      <c r="E133" s="1017"/>
      <c r="F133" s="1017"/>
      <c r="G133" s="1017"/>
      <c r="H133" s="1017"/>
      <c r="I133" s="1017"/>
      <c r="J133" s="1017"/>
      <c r="K133" s="1017"/>
      <c r="L133" s="165"/>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 ref="B106:L106"/>
    <mergeCell ref="B107:K107"/>
    <mergeCell ref="C108:K108"/>
    <mergeCell ref="C109:K109"/>
    <mergeCell ref="B113:K113"/>
    <mergeCell ref="B114:L114"/>
    <mergeCell ref="B115:K115"/>
    <mergeCell ref="B118:B121"/>
    <mergeCell ref="K118:K121"/>
    <mergeCell ref="L118:L121"/>
    <mergeCell ref="D119:F119"/>
    <mergeCell ref="D121:F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44"/>
  <sheetViews>
    <sheetView topLeftCell="A118" workbookViewId="0">
      <selection activeCell="B131" sqref="B131"/>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899" t="s">
        <v>106</v>
      </c>
      <c r="C1" s="899"/>
      <c r="D1" s="899"/>
      <c r="E1" s="899"/>
      <c r="F1" s="899"/>
      <c r="G1" s="899"/>
      <c r="H1" s="899"/>
      <c r="I1" s="899"/>
      <c r="J1" s="899"/>
      <c r="K1" s="1008"/>
      <c r="L1" s="1008"/>
    </row>
    <row r="2" spans="1:12" ht="21.75" customHeight="1" x14ac:dyDescent="0.25">
      <c r="A2" s="20"/>
      <c r="B2" s="901" t="s">
        <v>2</v>
      </c>
      <c r="C2" s="901"/>
      <c r="D2" s="901"/>
      <c r="E2" s="902" t="str">
        <f>'DADOS INICIAIS'!D2</f>
        <v>16034.720017/2023-24</v>
      </c>
      <c r="F2" s="902"/>
      <c r="G2" s="902"/>
      <c r="H2" s="902"/>
      <c r="I2" s="902"/>
      <c r="J2" s="902"/>
      <c r="K2" s="1008"/>
      <c r="L2" s="1008"/>
    </row>
    <row r="3" spans="1:12" ht="21.75" customHeight="1" x14ac:dyDescent="0.25">
      <c r="A3" s="20"/>
      <c r="B3" s="901" t="s">
        <v>3</v>
      </c>
      <c r="C3" s="901"/>
      <c r="D3" s="901"/>
      <c r="E3" s="903" t="str">
        <f>'DADOS INICIAIS'!D3</f>
        <v>Pregão DRF/JUN nº 10/2023</v>
      </c>
      <c r="F3" s="903"/>
      <c r="G3" s="903"/>
      <c r="H3" s="903"/>
      <c r="I3" s="903"/>
      <c r="J3" s="903"/>
      <c r="K3" s="1008"/>
      <c r="L3" s="1008"/>
    </row>
    <row r="4" spans="1:12" ht="21.75" customHeight="1" x14ac:dyDescent="0.25">
      <c r="A4" s="20"/>
      <c r="B4" s="901" t="s">
        <v>4</v>
      </c>
      <c r="C4" s="901"/>
      <c r="D4" s="901"/>
      <c r="E4" s="904" t="str">
        <f>'DADOS INICIAIS'!D4</f>
        <v>XX/XX/2023</v>
      </c>
      <c r="F4" s="904"/>
      <c r="G4" s="23"/>
      <c r="H4" s="24" t="s">
        <v>5</v>
      </c>
      <c r="I4" s="905">
        <f>'DADOS INICIAIS'!H4</f>
        <v>0.375</v>
      </c>
      <c r="J4" s="905"/>
      <c r="K4" s="1008"/>
      <c r="L4" s="1008"/>
    </row>
    <row r="5" spans="1:12" ht="21.75" customHeight="1" x14ac:dyDescent="0.25">
      <c r="A5" s="20"/>
      <c r="B5" s="25"/>
      <c r="C5" s="26"/>
      <c r="D5" s="26"/>
      <c r="E5" s="26"/>
      <c r="F5" s="26"/>
      <c r="G5" s="26"/>
      <c r="H5" s="26"/>
      <c r="I5" s="26"/>
      <c r="J5" s="26"/>
      <c r="K5" s="1008"/>
      <c r="L5" s="1008"/>
    </row>
    <row r="6" spans="1:12" ht="21.75" customHeight="1" x14ac:dyDescent="0.25">
      <c r="A6" s="20"/>
      <c r="B6" s="901" t="s">
        <v>107</v>
      </c>
      <c r="C6" s="901"/>
      <c r="D6" s="901"/>
      <c r="E6" s="906" t="str">
        <f>'DADOS INICIAIS'!D1</f>
        <v>Manutenção Predial</v>
      </c>
      <c r="F6" s="906"/>
      <c r="G6" s="906"/>
      <c r="H6" s="906"/>
      <c r="I6" s="906"/>
      <c r="J6" s="906"/>
      <c r="K6" s="1008"/>
      <c r="L6" s="1008"/>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1009" t="str">
        <f>'DADOS INICIAIS'!D6</f>
        <v>JUNDIAÍ</v>
      </c>
      <c r="H8" s="1009"/>
      <c r="I8" s="1009"/>
      <c r="J8" s="1009"/>
      <c r="K8" s="1009"/>
      <c r="L8" s="1009"/>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114</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INICIAIS'!L16</f>
        <v>31.75</v>
      </c>
    </row>
    <row r="16" spans="1:12" ht="21.75" customHeight="1" x14ac:dyDescent="0.25">
      <c r="A16" s="20"/>
      <c r="B16" s="33">
        <v>2</v>
      </c>
      <c r="C16" s="22" t="s">
        <v>116</v>
      </c>
      <c r="D16" s="22"/>
      <c r="E16" s="22"/>
      <c r="F16" s="22"/>
      <c r="G16" s="22"/>
      <c r="H16" s="22"/>
      <c r="I16" s="22"/>
      <c r="J16" s="22"/>
      <c r="K16" s="22"/>
      <c r="L16" s="35" t="str">
        <f>'DADOS INICIAIS'!L17</f>
        <v>Pedreiro</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10" t="s">
        <v>118</v>
      </c>
      <c r="D18" s="910"/>
      <c r="E18" s="910"/>
      <c r="F18" s="910"/>
      <c r="G18" s="910"/>
      <c r="H18" s="910"/>
      <c r="I18" s="910"/>
      <c r="J18" s="910"/>
      <c r="K18" s="910"/>
      <c r="L18" s="39" t="str">
        <f>'DADOS INICIAIS'!L15</f>
        <v>7152-10</v>
      </c>
    </row>
    <row r="19" spans="1:12" ht="21.75" customHeight="1" x14ac:dyDescent="0.25">
      <c r="A19" s="20"/>
      <c r="B19" s="40"/>
      <c r="C19" s="20"/>
      <c r="D19" s="20"/>
      <c r="E19" s="20"/>
      <c r="F19" s="20"/>
      <c r="G19" s="20"/>
      <c r="H19" s="20"/>
      <c r="I19" s="20"/>
      <c r="J19" s="20"/>
      <c r="K19" s="20"/>
      <c r="L19" s="41"/>
    </row>
    <row r="20" spans="1:12" ht="21.75" customHeight="1" x14ac:dyDescent="0.25">
      <c r="A20" s="20"/>
      <c r="B20" s="911" t="s">
        <v>119</v>
      </c>
      <c r="C20" s="911"/>
      <c r="D20" s="911"/>
      <c r="E20" s="911"/>
      <c r="F20" s="911"/>
      <c r="G20" s="911"/>
      <c r="H20" s="911"/>
      <c r="I20" s="911"/>
      <c r="J20" s="911"/>
      <c r="K20" s="911"/>
      <c r="L20" s="42" t="s">
        <v>72</v>
      </c>
    </row>
    <row r="21" spans="1:12" ht="21.75" customHeight="1" x14ac:dyDescent="0.25">
      <c r="A21" s="20"/>
      <c r="B21" s="33" t="s">
        <v>120</v>
      </c>
      <c r="C21" s="22" t="s">
        <v>121</v>
      </c>
      <c r="D21" s="22"/>
      <c r="E21" s="22"/>
      <c r="F21" s="22"/>
      <c r="G21" s="22"/>
      <c r="H21" s="22"/>
      <c r="I21" s="22"/>
      <c r="J21" s="22"/>
      <c r="K21" s="43"/>
      <c r="L21" s="44">
        <f>'DADOS INICIAIS'!L19</f>
        <v>31.75</v>
      </c>
    </row>
    <row r="22" spans="1:12" ht="21.75" customHeight="1" x14ac:dyDescent="0.25">
      <c r="A22" s="20"/>
      <c r="B22" s="33" t="s">
        <v>122</v>
      </c>
      <c r="C22" s="37" t="s">
        <v>30</v>
      </c>
      <c r="D22" s="37"/>
      <c r="E22" s="37"/>
      <c r="F22" s="43" t="s">
        <v>123</v>
      </c>
      <c r="G22" s="43"/>
      <c r="H22" s="37"/>
      <c r="I22" s="43" t="s">
        <v>124</v>
      </c>
      <c r="J22" s="20"/>
      <c r="K22" s="45">
        <f>'DADOS INICIAIS'!L20</f>
        <v>0</v>
      </c>
      <c r="L22" s="44">
        <f>L21*K22</f>
        <v>0</v>
      </c>
    </row>
    <row r="23" spans="1:12" ht="21.75" customHeight="1" x14ac:dyDescent="0.25">
      <c r="A23" s="20"/>
      <c r="B23" s="912" t="s">
        <v>125</v>
      </c>
      <c r="C23" s="37" t="s">
        <v>126</v>
      </c>
      <c r="D23" s="37"/>
      <c r="E23" s="37"/>
      <c r="F23" s="43" t="s">
        <v>127</v>
      </c>
      <c r="G23" s="43"/>
      <c r="H23" s="37"/>
      <c r="I23" s="37"/>
      <c r="J23" s="37"/>
      <c r="K23" s="137"/>
      <c r="L23" s="913">
        <f>L21*K23</f>
        <v>0</v>
      </c>
    </row>
    <row r="24" spans="1:12" ht="21.75" customHeight="1" x14ac:dyDescent="0.25">
      <c r="A24" s="20"/>
      <c r="B24" s="912"/>
      <c r="C24" s="31"/>
      <c r="D24" s="31"/>
      <c r="E24" s="31"/>
      <c r="F24" s="46" t="s">
        <v>128</v>
      </c>
      <c r="G24" s="46"/>
      <c r="H24" s="31"/>
      <c r="I24" s="47" t="s">
        <v>129</v>
      </c>
      <c r="J24" s="48"/>
      <c r="K24" s="143"/>
      <c r="L24" s="913"/>
    </row>
    <row r="25" spans="1:12" ht="21.75" customHeight="1" x14ac:dyDescent="0.25">
      <c r="A25" s="20"/>
      <c r="B25" s="33" t="s">
        <v>130</v>
      </c>
      <c r="C25" s="914" t="s">
        <v>131</v>
      </c>
      <c r="D25" s="914"/>
      <c r="E25" s="914"/>
      <c r="F25" s="914"/>
      <c r="G25" s="914"/>
      <c r="H25" s="914"/>
      <c r="I25" s="914"/>
      <c r="J25" s="914"/>
      <c r="K25" s="914"/>
      <c r="L25" s="44"/>
    </row>
    <row r="26" spans="1:12" ht="21.75" customHeight="1" x14ac:dyDescent="0.25">
      <c r="A26" s="20"/>
      <c r="B26" s="33" t="s">
        <v>132</v>
      </c>
      <c r="C26" s="914" t="s">
        <v>116</v>
      </c>
      <c r="D26" s="914"/>
      <c r="E26" s="914"/>
      <c r="F26" s="914"/>
      <c r="G26" s="914"/>
      <c r="H26" s="914"/>
      <c r="I26" s="914"/>
      <c r="J26" s="914"/>
      <c r="K26" s="914"/>
      <c r="L26" s="44" t="str">
        <f>L16</f>
        <v>Pedreiro</v>
      </c>
    </row>
    <row r="27" spans="1:12" ht="21.75" customHeight="1" x14ac:dyDescent="0.25">
      <c r="A27" s="20"/>
      <c r="B27" s="33" t="s">
        <v>133</v>
      </c>
      <c r="C27" s="914" t="s">
        <v>134</v>
      </c>
      <c r="D27" s="914"/>
      <c r="E27" s="914"/>
      <c r="F27" s="914"/>
      <c r="G27" s="914"/>
      <c r="H27" s="914"/>
      <c r="I27" s="914"/>
      <c r="J27" s="914"/>
      <c r="K27" s="914"/>
      <c r="L27" s="44"/>
    </row>
    <row r="28" spans="1:12" ht="21.75" customHeight="1" x14ac:dyDescent="0.25">
      <c r="A28" s="20"/>
      <c r="B28" s="33" t="s">
        <v>135</v>
      </c>
      <c r="C28" s="914" t="s">
        <v>136</v>
      </c>
      <c r="D28" s="914"/>
      <c r="E28" s="914"/>
      <c r="F28" s="914"/>
      <c r="G28" s="914"/>
      <c r="H28" s="914"/>
      <c r="I28" s="914"/>
      <c r="J28" s="914"/>
      <c r="K28" s="914"/>
      <c r="L28" s="44"/>
    </row>
    <row r="29" spans="1:12" ht="21.75" customHeight="1" x14ac:dyDescent="0.25">
      <c r="A29" s="20"/>
      <c r="B29" s="911" t="s">
        <v>137</v>
      </c>
      <c r="C29" s="911"/>
      <c r="D29" s="911"/>
      <c r="E29" s="911"/>
      <c r="F29" s="911"/>
      <c r="G29" s="49"/>
      <c r="H29" s="49"/>
      <c r="I29" s="49"/>
      <c r="J29" s="49"/>
      <c r="K29" s="49"/>
      <c r="L29" s="50">
        <f>SUM(L21:L28)</f>
        <v>31.75</v>
      </c>
    </row>
    <row r="30" spans="1:12" ht="21.75" customHeight="1" x14ac:dyDescent="0.25">
      <c r="A30" s="20"/>
      <c r="B30" s="915"/>
      <c r="C30" s="915"/>
      <c r="D30" s="915"/>
      <c r="E30" s="915"/>
      <c r="F30" s="915"/>
      <c r="G30" s="915"/>
      <c r="H30" s="915"/>
      <c r="I30" s="915"/>
      <c r="J30" s="915"/>
      <c r="K30" s="915"/>
      <c r="L30" s="915"/>
    </row>
    <row r="31" spans="1:12" ht="21.75" customHeight="1" x14ac:dyDescent="0.25">
      <c r="A31" s="20"/>
      <c r="B31" s="1010" t="s">
        <v>138</v>
      </c>
      <c r="C31" s="1010"/>
      <c r="D31" s="1010"/>
      <c r="E31" s="1010"/>
      <c r="F31" s="1010"/>
      <c r="G31" s="1010"/>
      <c r="H31" s="1010"/>
      <c r="I31" s="1010"/>
      <c r="J31" s="1010"/>
      <c r="K31" s="1010"/>
      <c r="L31" s="1010"/>
    </row>
    <row r="32" spans="1:12" ht="21.75" customHeight="1" x14ac:dyDescent="0.25">
      <c r="A32" s="20"/>
      <c r="B32" s="1011" t="s">
        <v>139</v>
      </c>
      <c r="C32" s="1011"/>
      <c r="D32" s="1011"/>
      <c r="E32" s="1011"/>
      <c r="F32" s="1011"/>
      <c r="G32" s="1011"/>
      <c r="H32" s="1011"/>
      <c r="I32" s="1011"/>
      <c r="J32" s="1011"/>
      <c r="K32" s="1011"/>
      <c r="L32" s="1011"/>
    </row>
    <row r="33" spans="1:12" ht="21.75" customHeight="1" x14ac:dyDescent="0.25">
      <c r="A33" s="20"/>
      <c r="B33" s="51" t="s">
        <v>120</v>
      </c>
      <c r="C33" s="918" t="s">
        <v>140</v>
      </c>
      <c r="D33" s="918"/>
      <c r="E33" s="918"/>
      <c r="F33" s="918"/>
      <c r="G33" s="918"/>
      <c r="H33" s="918"/>
      <c r="I33" s="918"/>
      <c r="J33" s="918"/>
      <c r="K33" s="52">
        <v>8.3299999999999999E-2</v>
      </c>
      <c r="L33" s="53">
        <f>L29*K33</f>
        <v>2.6447750000000001</v>
      </c>
    </row>
    <row r="34" spans="1:12" ht="21.75" customHeight="1" x14ac:dyDescent="0.25">
      <c r="A34" s="20"/>
      <c r="B34" s="51" t="s">
        <v>122</v>
      </c>
      <c r="C34" s="918" t="s">
        <v>141</v>
      </c>
      <c r="D34" s="918"/>
      <c r="E34" s="918"/>
      <c r="F34" s="918"/>
      <c r="G34" s="918"/>
      <c r="H34" s="918"/>
      <c r="I34" s="918"/>
      <c r="J34" s="918"/>
      <c r="K34" s="52">
        <v>0.121</v>
      </c>
      <c r="L34" s="53">
        <f>L29*K34</f>
        <v>3.8417499999999998</v>
      </c>
    </row>
    <row r="35" spans="1:12" ht="21.75" customHeight="1" x14ac:dyDescent="0.25">
      <c r="A35" s="20"/>
      <c r="B35" s="51" t="s">
        <v>125</v>
      </c>
      <c r="C35" s="918" t="s">
        <v>142</v>
      </c>
      <c r="D35" s="918"/>
      <c r="E35" s="918"/>
      <c r="F35" s="918"/>
      <c r="G35" s="918"/>
      <c r="H35" s="918"/>
      <c r="I35" s="918"/>
      <c r="J35" s="918"/>
      <c r="K35" s="52">
        <f>(K33+K34)*K39</f>
        <v>7.518240000000001E-2</v>
      </c>
      <c r="L35" s="53">
        <f>L29*K35</f>
        <v>2.3870412000000005</v>
      </c>
    </row>
    <row r="36" spans="1:12" ht="21.75" customHeight="1" x14ac:dyDescent="0.25">
      <c r="A36" s="20"/>
      <c r="B36" s="54"/>
      <c r="C36" s="919"/>
      <c r="D36" s="919"/>
      <c r="E36" s="919"/>
      <c r="F36" s="919"/>
      <c r="G36" s="919"/>
      <c r="H36" s="919"/>
      <c r="I36" s="919"/>
      <c r="J36" s="919"/>
      <c r="K36" s="55">
        <f>K33+K34+K35</f>
        <v>0.27948240000000002</v>
      </c>
      <c r="L36" s="56">
        <f>L29*K36</f>
        <v>8.8735662000000008</v>
      </c>
    </row>
    <row r="37" spans="1:12" ht="21.75" customHeight="1" x14ac:dyDescent="0.25">
      <c r="A37" s="20"/>
      <c r="B37" s="920"/>
      <c r="C37" s="920"/>
      <c r="D37" s="920"/>
      <c r="E37" s="920"/>
      <c r="F37" s="920"/>
      <c r="G37" s="920"/>
      <c r="H37" s="920"/>
      <c r="I37" s="920"/>
      <c r="J37" s="920"/>
      <c r="K37" s="920"/>
      <c r="L37" s="920"/>
    </row>
    <row r="38" spans="1:12" ht="21.75" customHeight="1" x14ac:dyDescent="0.25">
      <c r="A38" s="20"/>
      <c r="B38" s="1012" t="s">
        <v>143</v>
      </c>
      <c r="C38" s="1012"/>
      <c r="D38" s="1012"/>
      <c r="E38" s="1012"/>
      <c r="F38" s="1012"/>
      <c r="G38" s="1012"/>
      <c r="H38" s="1012"/>
      <c r="I38" s="1012"/>
      <c r="J38" s="1012"/>
      <c r="K38" s="1012"/>
      <c r="L38" s="1012"/>
    </row>
    <row r="39" spans="1:12" ht="21.75" customHeight="1" x14ac:dyDescent="0.25">
      <c r="A39" s="20"/>
      <c r="B39" s="57" t="s">
        <v>144</v>
      </c>
      <c r="C39" s="20"/>
      <c r="D39" s="20"/>
      <c r="E39" s="20"/>
      <c r="F39" s="20"/>
      <c r="G39" s="20"/>
      <c r="H39" s="20"/>
      <c r="I39" s="20"/>
      <c r="J39" s="20"/>
      <c r="K39" s="58">
        <f>SUM(K40:K47)</f>
        <v>0.3680000000000001</v>
      </c>
      <c r="L39" s="59">
        <f>SUM(L40:L47)</f>
        <v>11.684000000000001</v>
      </c>
    </row>
    <row r="40" spans="1:12" ht="21.75" customHeight="1" x14ac:dyDescent="0.25">
      <c r="A40" s="20"/>
      <c r="B40" s="33" t="s">
        <v>120</v>
      </c>
      <c r="C40" s="922" t="s">
        <v>145</v>
      </c>
      <c r="D40" s="922"/>
      <c r="E40" s="922"/>
      <c r="F40" s="922"/>
      <c r="G40" s="922"/>
      <c r="H40" s="922"/>
      <c r="I40" s="922"/>
      <c r="J40" s="922"/>
      <c r="K40" s="60">
        <v>0.2</v>
      </c>
      <c r="L40" s="44">
        <f t="shared" ref="L40:L47" si="0">K40*$L$29</f>
        <v>6.3500000000000005</v>
      </c>
    </row>
    <row r="41" spans="1:12" ht="21.75" customHeight="1" x14ac:dyDescent="0.25">
      <c r="A41" s="20"/>
      <c r="B41" s="33" t="s">
        <v>122</v>
      </c>
      <c r="C41" s="922" t="s">
        <v>146</v>
      </c>
      <c r="D41" s="922"/>
      <c r="E41" s="922"/>
      <c r="F41" s="922"/>
      <c r="G41" s="922"/>
      <c r="H41" s="922"/>
      <c r="I41" s="922"/>
      <c r="J41" s="922"/>
      <c r="K41" s="60">
        <v>1.4999999999999999E-2</v>
      </c>
      <c r="L41" s="44">
        <f t="shared" si="0"/>
        <v>0.47625000000000001</v>
      </c>
    </row>
    <row r="42" spans="1:12" ht="21.75" customHeight="1" x14ac:dyDescent="0.25">
      <c r="A42" s="20"/>
      <c r="B42" s="33" t="s">
        <v>125</v>
      </c>
      <c r="C42" s="922" t="s">
        <v>147</v>
      </c>
      <c r="D42" s="922"/>
      <c r="E42" s="922"/>
      <c r="F42" s="922"/>
      <c r="G42" s="922"/>
      <c r="H42" s="922"/>
      <c r="I42" s="922"/>
      <c r="J42" s="922"/>
      <c r="K42" s="60">
        <v>0.01</v>
      </c>
      <c r="L42" s="44">
        <f t="shared" si="0"/>
        <v>0.3175</v>
      </c>
    </row>
    <row r="43" spans="1:12" ht="21.75" customHeight="1" x14ac:dyDescent="0.25">
      <c r="A43" s="20"/>
      <c r="B43" s="33" t="s">
        <v>130</v>
      </c>
      <c r="C43" s="922" t="s">
        <v>148</v>
      </c>
      <c r="D43" s="922"/>
      <c r="E43" s="922"/>
      <c r="F43" s="922"/>
      <c r="G43" s="922"/>
      <c r="H43" s="922"/>
      <c r="I43" s="922"/>
      <c r="J43" s="922"/>
      <c r="K43" s="60">
        <v>2E-3</v>
      </c>
      <c r="L43" s="44">
        <f t="shared" si="0"/>
        <v>6.3500000000000001E-2</v>
      </c>
    </row>
    <row r="44" spans="1:12" ht="21.75" customHeight="1" x14ac:dyDescent="0.25">
      <c r="A44" s="20"/>
      <c r="B44" s="33" t="s">
        <v>132</v>
      </c>
      <c r="C44" s="922" t="s">
        <v>149</v>
      </c>
      <c r="D44" s="922"/>
      <c r="E44" s="922"/>
      <c r="F44" s="922"/>
      <c r="G44" s="922"/>
      <c r="H44" s="922"/>
      <c r="I44" s="922"/>
      <c r="J44" s="922"/>
      <c r="K44" s="60">
        <v>2.5000000000000001E-2</v>
      </c>
      <c r="L44" s="44">
        <f t="shared" si="0"/>
        <v>0.79375000000000007</v>
      </c>
    </row>
    <row r="45" spans="1:12" ht="21.75" customHeight="1" x14ac:dyDescent="0.25">
      <c r="A45" s="20"/>
      <c r="B45" s="33" t="s">
        <v>133</v>
      </c>
      <c r="C45" s="922" t="s">
        <v>150</v>
      </c>
      <c r="D45" s="922"/>
      <c r="E45" s="922"/>
      <c r="F45" s="922"/>
      <c r="G45" s="922"/>
      <c r="H45" s="922"/>
      <c r="I45" s="922"/>
      <c r="J45" s="922"/>
      <c r="K45" s="60">
        <v>0.08</v>
      </c>
      <c r="L45" s="44">
        <f t="shared" si="0"/>
        <v>2.54</v>
      </c>
    </row>
    <row r="46" spans="1:12"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0.95250000000000001</v>
      </c>
    </row>
    <row r="47" spans="1:12" ht="21.75" customHeight="1" x14ac:dyDescent="0.25">
      <c r="A47" s="20"/>
      <c r="B47" s="33" t="s">
        <v>153</v>
      </c>
      <c r="C47" s="63" t="s">
        <v>154</v>
      </c>
      <c r="D47" s="64"/>
      <c r="E47" s="64"/>
      <c r="F47" s="64"/>
      <c r="G47" s="64"/>
      <c r="H47" s="64"/>
      <c r="I47" s="64"/>
      <c r="J47" s="65"/>
      <c r="K47" s="60">
        <v>6.0000000000000001E-3</v>
      </c>
      <c r="L47" s="44">
        <f t="shared" si="0"/>
        <v>0.1905</v>
      </c>
    </row>
    <row r="48" spans="1:12" ht="21.75" customHeight="1" x14ac:dyDescent="0.25">
      <c r="A48" s="20"/>
      <c r="B48" s="915"/>
      <c r="C48" s="915"/>
      <c r="D48" s="915"/>
      <c r="E48" s="915"/>
      <c r="F48" s="915"/>
      <c r="G48" s="915"/>
      <c r="H48" s="915"/>
      <c r="I48" s="915"/>
      <c r="J48" s="915"/>
      <c r="K48" s="915"/>
      <c r="L48" s="915"/>
    </row>
    <row r="49" spans="1:12" ht="21.75" customHeight="1" x14ac:dyDescent="0.25">
      <c r="A49" s="20"/>
      <c r="B49" s="1010" t="s">
        <v>155</v>
      </c>
      <c r="C49" s="1010"/>
      <c r="D49" s="1010"/>
      <c r="E49" s="1010"/>
      <c r="F49" s="1010"/>
      <c r="G49" s="1010"/>
      <c r="H49" s="1010"/>
      <c r="I49" s="1010"/>
      <c r="J49" s="1010"/>
      <c r="K49" s="1010"/>
      <c r="L49" s="1010"/>
    </row>
    <row r="50" spans="1:12" ht="21.75" customHeight="1" x14ac:dyDescent="0.25">
      <c r="A50" s="20"/>
      <c r="B50" s="33" t="s">
        <v>120</v>
      </c>
      <c r="C50" s="924" t="s">
        <v>156</v>
      </c>
      <c r="D50" s="924"/>
      <c r="E50" s="924"/>
      <c r="F50" s="924"/>
      <c r="G50" s="924"/>
      <c r="H50" s="924"/>
      <c r="I50" s="924"/>
      <c r="J50" s="924"/>
      <c r="K50" s="924"/>
      <c r="L50" s="66">
        <f>'DADOS INICIAIS'!L24</f>
        <v>0</v>
      </c>
    </row>
    <row r="51" spans="1:12" ht="21.75" customHeight="1" x14ac:dyDescent="0.25">
      <c r="A51" s="20"/>
      <c r="B51" s="33" t="s">
        <v>122</v>
      </c>
      <c r="C51" s="924" t="s">
        <v>157</v>
      </c>
      <c r="D51" s="924"/>
      <c r="E51" s="924"/>
      <c r="F51" s="924"/>
      <c r="G51" s="924"/>
      <c r="H51" s="924"/>
      <c r="I51" s="924"/>
      <c r="J51" s="924"/>
      <c r="K51" s="924"/>
      <c r="L51" s="66">
        <f>'DADOS INICIAIS'!L31</f>
        <v>0</v>
      </c>
    </row>
    <row r="52" spans="1:12" ht="21.75" customHeight="1" x14ac:dyDescent="0.25">
      <c r="A52" s="20"/>
      <c r="B52" s="33" t="s">
        <v>125</v>
      </c>
      <c r="C52" s="924" t="s">
        <v>37</v>
      </c>
      <c r="D52" s="924"/>
      <c r="E52" s="924"/>
      <c r="F52" s="924"/>
      <c r="G52" s="924"/>
      <c r="H52" s="924"/>
      <c r="I52" s="924"/>
      <c r="J52" s="924"/>
      <c r="K52" s="924"/>
      <c r="L52" s="66">
        <f>'DADOS INICIAIS'!L34</f>
        <v>0</v>
      </c>
    </row>
    <row r="53" spans="1:12" ht="21.75" customHeight="1" x14ac:dyDescent="0.25">
      <c r="A53" s="20"/>
      <c r="B53" s="33" t="s">
        <v>130</v>
      </c>
      <c r="C53" s="924" t="s">
        <v>158</v>
      </c>
      <c r="D53" s="924"/>
      <c r="E53" s="924"/>
      <c r="F53" s="924"/>
      <c r="G53" s="924"/>
      <c r="H53" s="924"/>
      <c r="I53" s="924"/>
      <c r="J53" s="924"/>
      <c r="K53" s="924"/>
      <c r="L53" s="66">
        <f>'DADOS INICIAIS'!L37</f>
        <v>0</v>
      </c>
    </row>
    <row r="54" spans="1:12" ht="21.75" customHeight="1" x14ac:dyDescent="0.25">
      <c r="A54" s="20"/>
      <c r="B54" s="33" t="s">
        <v>132</v>
      </c>
      <c r="C54" s="924" t="s">
        <v>159</v>
      </c>
      <c r="D54" s="924"/>
      <c r="E54" s="924"/>
      <c r="F54" s="924"/>
      <c r="G54" s="924"/>
      <c r="H54" s="924"/>
      <c r="I54" s="924"/>
      <c r="J54" s="924"/>
      <c r="K54" s="924"/>
      <c r="L54" s="66">
        <f>'DADOS INICIAIS'!L40</f>
        <v>0</v>
      </c>
    </row>
    <row r="55" spans="1:12" ht="21.75" customHeight="1" x14ac:dyDescent="0.25">
      <c r="A55" s="20"/>
      <c r="B55" s="33" t="s">
        <v>133</v>
      </c>
      <c r="C55" s="924" t="s">
        <v>160</v>
      </c>
      <c r="D55" s="924"/>
      <c r="E55" s="924"/>
      <c r="F55" s="924"/>
      <c r="G55" s="924"/>
      <c r="H55" s="924"/>
      <c r="I55" s="924"/>
      <c r="J55" s="924"/>
      <c r="K55" s="924"/>
      <c r="L55" s="66">
        <f>'DADOS INICIAIS'!L28</f>
        <v>0</v>
      </c>
    </row>
    <row r="56" spans="1:12" ht="21.75" customHeight="1" x14ac:dyDescent="0.25">
      <c r="A56" s="20"/>
      <c r="B56" s="33" t="s">
        <v>135</v>
      </c>
      <c r="C56" s="924" t="str">
        <f>'DADOS INICIAIS'!C46</f>
        <v>especificar</v>
      </c>
      <c r="D56" s="924"/>
      <c r="E56" s="924"/>
      <c r="F56" s="924"/>
      <c r="G56" s="924"/>
      <c r="H56" s="924"/>
      <c r="I56" s="924"/>
      <c r="J56" s="924"/>
      <c r="K56" s="924"/>
      <c r="L56" s="66">
        <f>'DADOS INICIAIS'!L46</f>
        <v>0</v>
      </c>
    </row>
    <row r="57" spans="1:12" ht="21.75" customHeight="1" x14ac:dyDescent="0.25">
      <c r="A57" s="20"/>
      <c r="B57" s="33" t="s">
        <v>153</v>
      </c>
      <c r="C57" s="924" t="str">
        <f>'DADOS INICIAIS'!C49</f>
        <v>especificar</v>
      </c>
      <c r="D57" s="924"/>
      <c r="E57" s="924"/>
      <c r="F57" s="924"/>
      <c r="G57" s="924"/>
      <c r="H57" s="924"/>
      <c r="I57" s="924"/>
      <c r="J57" s="924"/>
      <c r="K57" s="924"/>
      <c r="L57" s="66">
        <f>'DADOS INICIAIS'!L49</f>
        <v>0</v>
      </c>
    </row>
    <row r="58" spans="1:12" ht="21.75" customHeight="1" x14ac:dyDescent="0.25">
      <c r="A58" s="20"/>
      <c r="B58" s="33" t="s">
        <v>161</v>
      </c>
      <c r="C58" s="910"/>
      <c r="D58" s="910"/>
      <c r="E58" s="910"/>
      <c r="F58" s="910"/>
      <c r="G58" s="910"/>
      <c r="H58" s="910"/>
      <c r="I58" s="910"/>
      <c r="J58" s="910"/>
      <c r="K58" s="910"/>
      <c r="L58" s="164"/>
    </row>
    <row r="59" spans="1:12" ht="21.75" customHeight="1" x14ac:dyDescent="0.25">
      <c r="A59" s="20"/>
      <c r="B59" s="33"/>
      <c r="C59" s="919" t="s">
        <v>162</v>
      </c>
      <c r="D59" s="919"/>
      <c r="E59" s="919"/>
      <c r="F59" s="919"/>
      <c r="G59" s="919"/>
      <c r="H59" s="919"/>
      <c r="I59" s="919"/>
      <c r="J59" s="919"/>
      <c r="K59" s="919"/>
      <c r="L59" s="56">
        <f>SUM(L50:L58)</f>
        <v>0</v>
      </c>
    </row>
    <row r="60" spans="1:12" ht="21.75" customHeight="1" x14ac:dyDescent="0.25">
      <c r="A60" s="20"/>
      <c r="B60" s="920"/>
      <c r="C60" s="920"/>
      <c r="D60" s="920"/>
      <c r="E60" s="920"/>
      <c r="F60" s="920"/>
      <c r="G60" s="920"/>
      <c r="H60" s="920"/>
      <c r="I60" s="920"/>
      <c r="J60" s="920"/>
      <c r="K60" s="920"/>
      <c r="L60" s="920"/>
    </row>
    <row r="61" spans="1:12" ht="21.75" customHeight="1" x14ac:dyDescent="0.25">
      <c r="A61" s="20"/>
      <c r="B61" s="1012" t="s">
        <v>163</v>
      </c>
      <c r="C61" s="1012"/>
      <c r="D61" s="1012"/>
      <c r="E61" s="1012"/>
      <c r="F61" s="1012"/>
      <c r="G61" s="1012"/>
      <c r="H61" s="1012"/>
      <c r="I61" s="1012"/>
      <c r="J61" s="1012"/>
      <c r="K61" s="1012"/>
      <c r="L61" s="1012"/>
    </row>
    <row r="62" spans="1:12" ht="21.75" customHeight="1" x14ac:dyDescent="0.25">
      <c r="A62" s="20"/>
      <c r="B62" s="67" t="s">
        <v>164</v>
      </c>
      <c r="C62" s="925" t="s">
        <v>165</v>
      </c>
      <c r="D62" s="925"/>
      <c r="E62" s="925"/>
      <c r="F62" s="925"/>
      <c r="G62" s="925"/>
      <c r="H62" s="925"/>
      <c r="I62" s="925"/>
      <c r="J62" s="925"/>
      <c r="K62" s="68">
        <f>K36</f>
        <v>0.27948240000000002</v>
      </c>
      <c r="L62" s="69">
        <f>K62*L29</f>
        <v>8.8735662000000008</v>
      </c>
    </row>
    <row r="63" spans="1:12" ht="21.75" customHeight="1" x14ac:dyDescent="0.25">
      <c r="A63" s="20"/>
      <c r="B63" s="67" t="s">
        <v>166</v>
      </c>
      <c r="C63" s="926" t="s">
        <v>167</v>
      </c>
      <c r="D63" s="926"/>
      <c r="E63" s="926"/>
      <c r="F63" s="926"/>
      <c r="G63" s="926"/>
      <c r="H63" s="926"/>
      <c r="I63" s="926"/>
      <c r="J63" s="926"/>
      <c r="K63" s="68">
        <f>K39</f>
        <v>0.3680000000000001</v>
      </c>
      <c r="L63" s="69">
        <f>K63*L29</f>
        <v>11.684000000000003</v>
      </c>
    </row>
    <row r="64" spans="1:12" ht="21.75" customHeight="1" x14ac:dyDescent="0.25">
      <c r="A64" s="20"/>
      <c r="B64" s="67" t="s">
        <v>168</v>
      </c>
      <c r="C64" s="926" t="s">
        <v>169</v>
      </c>
      <c r="D64" s="926"/>
      <c r="E64" s="926"/>
      <c r="F64" s="926"/>
      <c r="G64" s="926"/>
      <c r="H64" s="926"/>
      <c r="I64" s="926"/>
      <c r="J64" s="926"/>
      <c r="K64" s="926"/>
      <c r="L64" s="69">
        <f>L59</f>
        <v>0</v>
      </c>
    </row>
    <row r="65" spans="1:12" ht="21.75" customHeight="1" x14ac:dyDescent="0.25">
      <c r="A65" s="20"/>
      <c r="B65" s="70"/>
      <c r="C65" s="927" t="s">
        <v>162</v>
      </c>
      <c r="D65" s="927"/>
      <c r="E65" s="927"/>
      <c r="F65" s="927"/>
      <c r="G65" s="927"/>
      <c r="H65" s="927"/>
      <c r="I65" s="927"/>
      <c r="J65" s="927"/>
      <c r="K65" s="927"/>
      <c r="L65" s="71">
        <f>L62+L63+L64</f>
        <v>20.557566200000004</v>
      </c>
    </row>
    <row r="66" spans="1:12" s="73" customFormat="1" ht="21.75" customHeight="1" x14ac:dyDescent="0.25">
      <c r="A66" s="72"/>
      <c r="B66" s="915"/>
      <c r="C66" s="915"/>
      <c r="D66" s="915"/>
      <c r="E66" s="915"/>
      <c r="F66" s="915"/>
      <c r="G66" s="915"/>
      <c r="H66" s="915"/>
      <c r="I66" s="915"/>
      <c r="J66" s="915"/>
      <c r="K66" s="915"/>
      <c r="L66" s="915"/>
    </row>
    <row r="67" spans="1:12" ht="21.75" customHeight="1" x14ac:dyDescent="0.25">
      <c r="A67" s="72"/>
      <c r="B67" s="1010" t="s">
        <v>170</v>
      </c>
      <c r="C67" s="1010"/>
      <c r="D67" s="1010"/>
      <c r="E67" s="1010"/>
      <c r="F67" s="1010"/>
      <c r="G67" s="1010"/>
      <c r="H67" s="1010"/>
      <c r="I67" s="1010"/>
      <c r="J67" s="1010"/>
      <c r="K67" s="1010"/>
      <c r="L67" s="1010"/>
    </row>
    <row r="68" spans="1:12" ht="21.75" customHeight="1" x14ac:dyDescent="0.25">
      <c r="A68" s="72"/>
      <c r="B68" s="33" t="s">
        <v>120</v>
      </c>
      <c r="C68" s="74" t="s">
        <v>171</v>
      </c>
      <c r="D68" s="75"/>
      <c r="E68" s="3">
        <v>30</v>
      </c>
      <c r="F68" s="2" t="s">
        <v>172</v>
      </c>
      <c r="G68" s="928" t="s">
        <v>173</v>
      </c>
      <c r="H68" s="928"/>
      <c r="I68" s="1013">
        <f>OFICIAL!I66</f>
        <v>0.05</v>
      </c>
      <c r="J68" s="1013"/>
      <c r="K68" s="76">
        <v>0</v>
      </c>
      <c r="L68" s="66">
        <f t="shared" ref="L68:L74" si="1">K68*$L$29</f>
        <v>0</v>
      </c>
    </row>
    <row r="69" spans="1:12" ht="21.75" customHeight="1" x14ac:dyDescent="0.25">
      <c r="A69" s="72"/>
      <c r="B69" s="33" t="s">
        <v>122</v>
      </c>
      <c r="C69" s="930" t="s">
        <v>174</v>
      </c>
      <c r="D69" s="930"/>
      <c r="E69" s="930"/>
      <c r="F69" s="930"/>
      <c r="G69" s="930"/>
      <c r="H69" s="930"/>
      <c r="I69" s="930"/>
      <c r="J69" s="930"/>
      <c r="K69" s="76">
        <v>0</v>
      </c>
      <c r="L69" s="66">
        <f t="shared" si="1"/>
        <v>0</v>
      </c>
    </row>
    <row r="70" spans="1:12" ht="21.75" customHeight="1" x14ac:dyDescent="0.25">
      <c r="A70" s="72"/>
      <c r="B70" s="33" t="s">
        <v>125</v>
      </c>
      <c r="C70" s="930" t="s">
        <v>175</v>
      </c>
      <c r="D70" s="930"/>
      <c r="E70" s="930"/>
      <c r="F70" s="930"/>
      <c r="G70" s="930"/>
      <c r="H70" s="930"/>
      <c r="I70" s="930"/>
      <c r="J70" s="930"/>
      <c r="K70" s="77">
        <v>0</v>
      </c>
      <c r="L70" s="66">
        <f t="shared" si="1"/>
        <v>0</v>
      </c>
    </row>
    <row r="71" spans="1:12" ht="21.75" customHeight="1" x14ac:dyDescent="0.25">
      <c r="A71" s="72"/>
      <c r="B71" s="33" t="s">
        <v>130</v>
      </c>
      <c r="C71" s="930" t="s">
        <v>176</v>
      </c>
      <c r="D71" s="930"/>
      <c r="E71" s="930"/>
      <c r="F71" s="930"/>
      <c r="G71" s="930"/>
      <c r="H71" s="930"/>
      <c r="I71" s="930"/>
      <c r="J71" s="930"/>
      <c r="K71" s="76">
        <v>0</v>
      </c>
      <c r="L71" s="66">
        <f t="shared" si="1"/>
        <v>0</v>
      </c>
    </row>
    <row r="72" spans="1:12" ht="21.75" customHeight="1" x14ac:dyDescent="0.25">
      <c r="A72" s="72"/>
      <c r="B72" s="33" t="s">
        <v>133</v>
      </c>
      <c r="C72" s="930" t="s">
        <v>177</v>
      </c>
      <c r="D72" s="930"/>
      <c r="E72" s="930"/>
      <c r="F72" s="930"/>
      <c r="G72" s="930"/>
      <c r="H72" s="930"/>
      <c r="I72" s="930"/>
      <c r="J72" s="930"/>
      <c r="K72" s="77">
        <v>0</v>
      </c>
      <c r="L72" s="66">
        <f t="shared" si="1"/>
        <v>0</v>
      </c>
    </row>
    <row r="73" spans="1:12" ht="21.75" customHeight="1" x14ac:dyDescent="0.25">
      <c r="A73" s="72"/>
      <c r="B73" s="33" t="s">
        <v>135</v>
      </c>
      <c r="C73" s="930" t="s">
        <v>178</v>
      </c>
      <c r="D73" s="930"/>
      <c r="E73" s="930"/>
      <c r="F73" s="930"/>
      <c r="G73" s="930"/>
      <c r="H73" s="930"/>
      <c r="I73" s="930"/>
      <c r="J73" s="930"/>
      <c r="K73" s="77">
        <v>0</v>
      </c>
      <c r="L73" s="66">
        <f t="shared" si="1"/>
        <v>0</v>
      </c>
    </row>
    <row r="74" spans="1:12" ht="21.75" customHeight="1" x14ac:dyDescent="0.25">
      <c r="A74" s="72"/>
      <c r="B74" s="33" t="s">
        <v>153</v>
      </c>
      <c r="C74" s="930" t="s">
        <v>179</v>
      </c>
      <c r="D74" s="930"/>
      <c r="E74" s="930"/>
      <c r="F74" s="930"/>
      <c r="G74" s="930"/>
      <c r="H74" s="930"/>
      <c r="I74" s="930"/>
      <c r="J74" s="930"/>
      <c r="K74" s="77">
        <v>0</v>
      </c>
      <c r="L74" s="66">
        <f t="shared" si="1"/>
        <v>0</v>
      </c>
    </row>
    <row r="75" spans="1:12" ht="21.75" customHeight="1" x14ac:dyDescent="0.25">
      <c r="A75" s="72"/>
      <c r="B75" s="912" t="s">
        <v>162</v>
      </c>
      <c r="C75" s="912"/>
      <c r="D75" s="912"/>
      <c r="E75" s="912"/>
      <c r="F75" s="912"/>
      <c r="G75" s="912"/>
      <c r="H75" s="912"/>
      <c r="I75" s="912"/>
      <c r="J75" s="912"/>
      <c r="K75" s="78"/>
      <c r="L75" s="79">
        <f>L68+L69+L70+L71+L72+L73+L74</f>
        <v>0</v>
      </c>
    </row>
    <row r="76" spans="1:12" ht="21.75" customHeight="1" x14ac:dyDescent="0.25">
      <c r="A76" s="72"/>
      <c r="B76" s="915"/>
      <c r="C76" s="915"/>
      <c r="D76" s="915"/>
      <c r="E76" s="915"/>
      <c r="F76" s="915"/>
      <c r="G76" s="915"/>
      <c r="H76" s="915"/>
      <c r="I76" s="915"/>
      <c r="J76" s="915"/>
      <c r="K76" s="915"/>
      <c r="L76" s="915"/>
    </row>
    <row r="77" spans="1:12" ht="21.75" customHeight="1" x14ac:dyDescent="0.25">
      <c r="A77" s="72"/>
      <c r="B77" s="1010" t="s">
        <v>180</v>
      </c>
      <c r="C77" s="1010"/>
      <c r="D77" s="1010"/>
      <c r="E77" s="1010"/>
      <c r="F77" s="1010"/>
      <c r="G77" s="1010"/>
      <c r="H77" s="1010"/>
      <c r="I77" s="1010"/>
      <c r="J77" s="1010"/>
      <c r="K77" s="1010"/>
      <c r="L77" s="1010"/>
    </row>
    <row r="78" spans="1:12" ht="21.75" customHeight="1" x14ac:dyDescent="0.25">
      <c r="A78" s="72"/>
      <c r="B78" s="1010" t="s">
        <v>181</v>
      </c>
      <c r="C78" s="1010"/>
      <c r="D78" s="1010"/>
      <c r="E78" s="1010"/>
      <c r="F78" s="1010"/>
      <c r="G78" s="1010"/>
      <c r="H78" s="1010"/>
      <c r="I78" s="1010"/>
      <c r="J78" s="1010"/>
      <c r="K78" s="1010"/>
      <c r="L78" s="1010"/>
    </row>
    <row r="79" spans="1:12" ht="21.75" customHeight="1" x14ac:dyDescent="0.25">
      <c r="A79" s="72"/>
      <c r="B79" s="33" t="s">
        <v>120</v>
      </c>
      <c r="C79" s="928" t="s">
        <v>182</v>
      </c>
      <c r="D79" s="928"/>
      <c r="E79" s="928"/>
      <c r="F79" s="928"/>
      <c r="G79" s="928"/>
      <c r="H79" s="928"/>
      <c r="I79" s="928"/>
      <c r="J79" s="928"/>
      <c r="K79" s="77">
        <v>0</v>
      </c>
      <c r="L79" s="80">
        <f t="shared" ref="L79:L86" si="2">K79*$L$29</f>
        <v>0</v>
      </c>
    </row>
    <row r="80" spans="1:12" ht="21.75" customHeight="1" x14ac:dyDescent="0.25">
      <c r="A80" s="72"/>
      <c r="B80" s="33" t="s">
        <v>122</v>
      </c>
      <c r="C80" s="928" t="s">
        <v>183</v>
      </c>
      <c r="D80" s="928"/>
      <c r="E80" s="928"/>
      <c r="F80" s="2" t="s">
        <v>184</v>
      </c>
      <c r="G80" s="3">
        <f>OFICIAL!G76</f>
        <v>5</v>
      </c>
      <c r="H80" s="928" t="s">
        <v>185</v>
      </c>
      <c r="I80" s="928"/>
      <c r="J80" s="148">
        <f>OFICIAL!J76</f>
        <v>1</v>
      </c>
      <c r="K80" s="81">
        <v>0</v>
      </c>
      <c r="L80" s="80">
        <f t="shared" si="2"/>
        <v>0</v>
      </c>
    </row>
    <row r="81" spans="1:12" ht="21.75" customHeight="1" x14ac:dyDescent="0.25">
      <c r="A81" s="72"/>
      <c r="B81" s="33" t="s">
        <v>125</v>
      </c>
      <c r="C81" s="928" t="s">
        <v>186</v>
      </c>
      <c r="D81" s="928"/>
      <c r="E81" s="928"/>
      <c r="F81" s="2" t="s">
        <v>184</v>
      </c>
      <c r="G81" s="3">
        <f>OFICIAL!G77</f>
        <v>5</v>
      </c>
      <c r="H81" s="928" t="s">
        <v>185</v>
      </c>
      <c r="I81" s="928"/>
      <c r="J81" s="148">
        <f>OFICIAL!J77</f>
        <v>1</v>
      </c>
      <c r="K81" s="81">
        <v>0</v>
      </c>
      <c r="L81" s="80">
        <f t="shared" si="2"/>
        <v>0</v>
      </c>
    </row>
    <row r="82" spans="1:12" ht="21.75" customHeight="1" x14ac:dyDescent="0.25">
      <c r="A82" s="72"/>
      <c r="B82" s="33" t="s">
        <v>130</v>
      </c>
      <c r="C82" s="928" t="s">
        <v>187</v>
      </c>
      <c r="D82" s="928"/>
      <c r="E82" s="928"/>
      <c r="F82" s="2" t="s">
        <v>184</v>
      </c>
      <c r="G82" s="3">
        <f>OFICIAL!G78</f>
        <v>5</v>
      </c>
      <c r="H82" s="928" t="s">
        <v>185</v>
      </c>
      <c r="I82" s="928"/>
      <c r="J82" s="148">
        <f>OFICIAL!J78</f>
        <v>1.4999999999999999E-2</v>
      </c>
      <c r="K82" s="81">
        <v>0</v>
      </c>
      <c r="L82" s="80">
        <f t="shared" si="2"/>
        <v>0</v>
      </c>
    </row>
    <row r="83" spans="1:12" ht="21.75" customHeight="1" x14ac:dyDescent="0.25">
      <c r="A83" s="72"/>
      <c r="B83" s="33" t="s">
        <v>132</v>
      </c>
      <c r="C83" s="928" t="s">
        <v>188</v>
      </c>
      <c r="D83" s="928"/>
      <c r="E83" s="928"/>
      <c r="F83" s="2" t="s">
        <v>184</v>
      </c>
      <c r="G83" s="3">
        <f>OFICIAL!G79</f>
        <v>2</v>
      </c>
      <c r="H83" s="928" t="s">
        <v>185</v>
      </c>
      <c r="I83" s="928"/>
      <c r="J83" s="148">
        <f>OFICIAL!J79</f>
        <v>0.01</v>
      </c>
      <c r="K83" s="81">
        <v>0</v>
      </c>
      <c r="L83" s="80">
        <f t="shared" si="2"/>
        <v>0</v>
      </c>
    </row>
    <row r="84" spans="1:12" ht="21.75" customHeight="1" x14ac:dyDescent="0.25">
      <c r="A84" s="72"/>
      <c r="B84" s="33" t="s">
        <v>133</v>
      </c>
      <c r="C84" s="928" t="s">
        <v>189</v>
      </c>
      <c r="D84" s="928"/>
      <c r="E84" s="928"/>
      <c r="F84" s="2" t="s">
        <v>184</v>
      </c>
      <c r="G84" s="3">
        <f>OFICIAL!G80</f>
        <v>0</v>
      </c>
      <c r="H84" s="928" t="s">
        <v>185</v>
      </c>
      <c r="I84" s="928"/>
      <c r="J84" s="148">
        <f>OFICIAL!J80</f>
        <v>0.02</v>
      </c>
      <c r="K84" s="81">
        <v>0</v>
      </c>
      <c r="L84" s="80">
        <f t="shared" si="2"/>
        <v>0</v>
      </c>
    </row>
    <row r="85" spans="1:12" ht="21.75" customHeight="1" x14ac:dyDescent="0.25">
      <c r="A85" s="72"/>
      <c r="B85" s="33" t="s">
        <v>135</v>
      </c>
      <c r="C85" s="928" t="str">
        <f>OFICIAL!C81</f>
        <v>Outros (especificar)</v>
      </c>
      <c r="D85" s="928"/>
      <c r="E85" s="928"/>
      <c r="F85" s="2" t="s">
        <v>184</v>
      </c>
      <c r="G85" s="3">
        <f>OFICIAL!G81</f>
        <v>0</v>
      </c>
      <c r="H85" s="928" t="s">
        <v>185</v>
      </c>
      <c r="I85" s="928"/>
      <c r="J85" s="148">
        <f>OFICIAL!J81</f>
        <v>0</v>
      </c>
      <c r="K85" s="81">
        <v>0</v>
      </c>
      <c r="L85" s="80">
        <f t="shared" si="2"/>
        <v>0</v>
      </c>
    </row>
    <row r="86" spans="1:12" ht="21.75" customHeight="1" x14ac:dyDescent="0.25">
      <c r="A86" s="72"/>
      <c r="B86" s="33" t="s">
        <v>153</v>
      </c>
      <c r="C86" s="928" t="s">
        <v>190</v>
      </c>
      <c r="D86" s="928"/>
      <c r="E86" s="928"/>
      <c r="F86" s="928"/>
      <c r="G86" s="928"/>
      <c r="H86" s="928"/>
      <c r="I86" s="928"/>
      <c r="J86" s="928"/>
      <c r="K86" s="76">
        <v>0</v>
      </c>
      <c r="L86" s="80">
        <f t="shared" si="2"/>
        <v>0</v>
      </c>
    </row>
    <row r="87" spans="1:12" ht="21.75" customHeight="1" x14ac:dyDescent="0.25">
      <c r="A87" s="72"/>
      <c r="B87" s="912" t="s">
        <v>162</v>
      </c>
      <c r="C87" s="912"/>
      <c r="D87" s="912"/>
      <c r="E87" s="912"/>
      <c r="F87" s="912"/>
      <c r="G87" s="912"/>
      <c r="H87" s="912"/>
      <c r="I87" s="912"/>
      <c r="J87" s="912"/>
      <c r="K87" s="82">
        <f>SUM(K79:K86)</f>
        <v>0</v>
      </c>
      <c r="L87" s="83">
        <f>SUM(L79:L86)</f>
        <v>0</v>
      </c>
    </row>
    <row r="88" spans="1:12" ht="21.75" customHeight="1" x14ac:dyDescent="0.25">
      <c r="A88" s="72"/>
      <c r="B88" s="915"/>
      <c r="C88" s="915"/>
      <c r="D88" s="915"/>
      <c r="E88" s="915"/>
      <c r="F88" s="915"/>
      <c r="G88" s="915"/>
      <c r="H88" s="915"/>
      <c r="I88" s="915"/>
      <c r="J88" s="915"/>
      <c r="K88" s="915"/>
      <c r="L88" s="915"/>
    </row>
    <row r="89" spans="1:12" ht="21.75" customHeight="1" x14ac:dyDescent="0.25">
      <c r="A89" s="72"/>
      <c r="B89" s="1010" t="s">
        <v>191</v>
      </c>
      <c r="C89" s="1010"/>
      <c r="D89" s="1010"/>
      <c r="E89" s="1010"/>
      <c r="F89" s="1010"/>
      <c r="G89" s="1010"/>
      <c r="H89" s="1010"/>
      <c r="I89" s="1010"/>
      <c r="J89" s="1010"/>
      <c r="K89" s="1010"/>
      <c r="L89" s="1010"/>
    </row>
    <row r="90" spans="1:12" ht="21.75" customHeight="1" x14ac:dyDescent="0.25">
      <c r="A90" s="72"/>
      <c r="B90" s="33" t="s">
        <v>120</v>
      </c>
      <c r="C90" s="928" t="s">
        <v>192</v>
      </c>
      <c r="D90" s="928"/>
      <c r="E90" s="928"/>
      <c r="F90" s="928"/>
      <c r="G90" s="928"/>
      <c r="H90" s="928"/>
      <c r="I90" s="928"/>
      <c r="J90" s="928"/>
      <c r="K90" s="84"/>
      <c r="L90" s="83"/>
    </row>
    <row r="91" spans="1:12" ht="21.75" customHeight="1" x14ac:dyDescent="0.25">
      <c r="A91" s="72"/>
      <c r="B91" s="33" t="s">
        <v>122</v>
      </c>
      <c r="C91" s="928" t="s">
        <v>193</v>
      </c>
      <c r="D91" s="928"/>
      <c r="E91" s="928"/>
      <c r="F91" s="928"/>
      <c r="G91" s="928"/>
      <c r="H91" s="928"/>
      <c r="I91" s="928"/>
      <c r="J91" s="928"/>
      <c r="K91" s="84">
        <f>K90*K39</f>
        <v>0</v>
      </c>
      <c r="L91" s="83"/>
    </row>
    <row r="92" spans="1:12" ht="21.75" customHeight="1" x14ac:dyDescent="0.25">
      <c r="A92" s="72"/>
      <c r="B92" s="33"/>
      <c r="C92" s="928" t="s">
        <v>162</v>
      </c>
      <c r="D92" s="928"/>
      <c r="E92" s="928"/>
      <c r="F92" s="928"/>
      <c r="G92" s="928"/>
      <c r="H92" s="928"/>
      <c r="I92" s="928"/>
      <c r="J92" s="928"/>
      <c r="K92" s="2"/>
      <c r="L92" s="83">
        <f>SUM(L91+L90)</f>
        <v>0</v>
      </c>
    </row>
    <row r="93" spans="1:12" ht="21.75" customHeight="1" x14ac:dyDescent="0.25">
      <c r="A93" s="72"/>
      <c r="B93" s="915"/>
      <c r="C93" s="915"/>
      <c r="D93" s="915"/>
      <c r="E93" s="915"/>
      <c r="F93" s="915"/>
      <c r="G93" s="915"/>
      <c r="H93" s="915"/>
      <c r="I93" s="915"/>
      <c r="J93" s="915"/>
      <c r="K93" s="915"/>
      <c r="L93" s="915"/>
    </row>
    <row r="94" spans="1:12" ht="21.75" customHeight="1" x14ac:dyDescent="0.25">
      <c r="A94" s="72"/>
      <c r="B94" s="1010" t="s">
        <v>194</v>
      </c>
      <c r="C94" s="1010"/>
      <c r="D94" s="1010"/>
      <c r="E94" s="1010"/>
      <c r="F94" s="1010"/>
      <c r="G94" s="1010"/>
      <c r="H94" s="1010"/>
      <c r="I94" s="1010"/>
      <c r="J94" s="1010"/>
      <c r="K94" s="1010"/>
      <c r="L94" s="1010"/>
    </row>
    <row r="95" spans="1:12" ht="21.75" customHeight="1" x14ac:dyDescent="0.25">
      <c r="A95" s="72"/>
      <c r="B95" s="33" t="s">
        <v>195</v>
      </c>
      <c r="C95" s="931" t="s">
        <v>196</v>
      </c>
      <c r="D95" s="931"/>
      <c r="E95" s="931"/>
      <c r="F95" s="931"/>
      <c r="G95" s="931"/>
      <c r="H95" s="931"/>
      <c r="I95" s="931"/>
      <c r="J95" s="931"/>
      <c r="K95" s="2"/>
      <c r="L95" s="83">
        <f>L87</f>
        <v>0</v>
      </c>
    </row>
    <row r="96" spans="1:12" ht="21.75" customHeight="1" x14ac:dyDescent="0.25">
      <c r="A96" s="72"/>
      <c r="B96" s="33" t="s">
        <v>197</v>
      </c>
      <c r="C96" s="931" t="s">
        <v>198</v>
      </c>
      <c r="D96" s="931"/>
      <c r="E96" s="931"/>
      <c r="F96" s="931"/>
      <c r="G96" s="931"/>
      <c r="H96" s="931"/>
      <c r="I96" s="931"/>
      <c r="J96" s="931"/>
      <c r="K96" s="2"/>
      <c r="L96" s="83">
        <f>L92</f>
        <v>0</v>
      </c>
    </row>
    <row r="97" spans="1:12" ht="21.75" customHeight="1" x14ac:dyDescent="0.25">
      <c r="A97" s="72"/>
      <c r="B97" s="33"/>
      <c r="C97" s="928" t="s">
        <v>162</v>
      </c>
      <c r="D97" s="928"/>
      <c r="E97" s="928"/>
      <c r="F97" s="928"/>
      <c r="G97" s="928"/>
      <c r="H97" s="928"/>
      <c r="I97" s="928"/>
      <c r="J97" s="928"/>
      <c r="K97" s="2"/>
      <c r="L97" s="83">
        <f>L95+L96</f>
        <v>0</v>
      </c>
    </row>
    <row r="98" spans="1:12" ht="21.75" customHeight="1" x14ac:dyDescent="0.25">
      <c r="A98" s="72"/>
      <c r="B98" s="932"/>
      <c r="C98" s="932"/>
      <c r="D98" s="932"/>
      <c r="E98" s="932"/>
      <c r="F98" s="932"/>
      <c r="G98" s="932"/>
      <c r="H98" s="932"/>
      <c r="I98" s="932"/>
      <c r="J98" s="932"/>
      <c r="K98" s="932"/>
      <c r="L98" s="932"/>
    </row>
    <row r="99" spans="1:12" ht="21.75" customHeight="1" x14ac:dyDescent="0.25">
      <c r="A99" s="20"/>
      <c r="B99" s="933" t="s">
        <v>199</v>
      </c>
      <c r="C99" s="933"/>
      <c r="D99" s="933"/>
      <c r="E99" s="933"/>
      <c r="F99" s="933"/>
      <c r="G99" s="85"/>
      <c r="H99" s="85"/>
      <c r="I99" s="85"/>
      <c r="J99" s="85"/>
      <c r="K99" s="85"/>
      <c r="L99" s="86" t="s">
        <v>200</v>
      </c>
    </row>
    <row r="100" spans="1:12" ht="21.75" customHeight="1" x14ac:dyDescent="0.25">
      <c r="A100" s="20"/>
      <c r="B100" s="33" t="s">
        <v>120</v>
      </c>
      <c r="C100" s="1014" t="s">
        <v>201</v>
      </c>
      <c r="D100" s="1014"/>
      <c r="E100" s="1014"/>
      <c r="F100" s="1014"/>
      <c r="G100" s="1014"/>
      <c r="H100" s="1014"/>
      <c r="I100" s="1014"/>
      <c r="J100" s="1014"/>
      <c r="K100" s="1014"/>
      <c r="L100" s="34">
        <f>'DADOS INICIAIS'!L85</f>
        <v>45.27</v>
      </c>
    </row>
    <row r="101" spans="1:12" ht="21.75" customHeight="1" x14ac:dyDescent="0.25">
      <c r="A101" s="20"/>
      <c r="B101" s="33" t="s">
        <v>122</v>
      </c>
      <c r="C101" s="1015" t="s">
        <v>202</v>
      </c>
      <c r="D101" s="1015"/>
      <c r="E101" s="1015"/>
      <c r="F101" s="1015"/>
      <c r="G101" s="1015"/>
      <c r="H101" s="1015"/>
      <c r="I101" s="1015"/>
      <c r="J101" s="1015"/>
      <c r="K101" s="1015"/>
      <c r="L101" s="34">
        <v>0</v>
      </c>
    </row>
    <row r="102" spans="1:12" ht="21.75" customHeight="1" x14ac:dyDescent="0.25">
      <c r="A102" s="20"/>
      <c r="B102" s="912" t="s">
        <v>125</v>
      </c>
      <c r="C102" s="1016" t="s">
        <v>136</v>
      </c>
      <c r="D102" s="1016"/>
      <c r="E102" s="935">
        <f>OFICIAL!E98</f>
        <v>0</v>
      </c>
      <c r="F102" s="935"/>
      <c r="G102" s="935"/>
      <c r="H102" s="935"/>
      <c r="I102" s="935"/>
      <c r="J102" s="935"/>
      <c r="K102" s="935"/>
      <c r="L102" s="34">
        <f>OFICIAL!L98</f>
        <v>0</v>
      </c>
    </row>
    <row r="103" spans="1:12" ht="21.75" customHeight="1" x14ac:dyDescent="0.25">
      <c r="A103" s="20"/>
      <c r="B103" s="912"/>
      <c r="C103" s="1016"/>
      <c r="D103" s="1016"/>
      <c r="E103" s="936" t="str">
        <f>OFICIAL!E99</f>
        <v>--</v>
      </c>
      <c r="F103" s="936"/>
      <c r="G103" s="936"/>
      <c r="H103" s="936"/>
      <c r="I103" s="936"/>
      <c r="J103" s="936"/>
      <c r="K103" s="936"/>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45.27</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37" t="s">
        <v>205</v>
      </c>
      <c r="C106" s="937"/>
      <c r="D106" s="937"/>
      <c r="E106" s="937"/>
      <c r="F106" s="937"/>
      <c r="G106" s="937"/>
      <c r="H106" s="937"/>
      <c r="I106" s="937"/>
      <c r="J106" s="937"/>
      <c r="K106" s="937"/>
      <c r="L106" s="937"/>
    </row>
    <row r="107" spans="1:12" ht="21.75" customHeight="1" x14ac:dyDescent="0.25">
      <c r="A107" s="72"/>
      <c r="B107" s="938" t="s">
        <v>206</v>
      </c>
      <c r="C107" s="938"/>
      <c r="D107" s="938"/>
      <c r="E107" s="938"/>
      <c r="F107" s="938"/>
      <c r="G107" s="938"/>
      <c r="H107" s="938"/>
      <c r="I107" s="938"/>
      <c r="J107" s="938"/>
      <c r="K107" s="938"/>
      <c r="L107" s="86" t="s">
        <v>200</v>
      </c>
    </row>
    <row r="108" spans="1:12" ht="21.75" customHeight="1" x14ac:dyDescent="0.25">
      <c r="A108" s="72"/>
      <c r="B108" s="89" t="s">
        <v>120</v>
      </c>
      <c r="C108" s="939" t="s">
        <v>119</v>
      </c>
      <c r="D108" s="939"/>
      <c r="E108" s="939"/>
      <c r="F108" s="939"/>
      <c r="G108" s="939"/>
      <c r="H108" s="939"/>
      <c r="I108" s="939"/>
      <c r="J108" s="939"/>
      <c r="K108" s="939"/>
      <c r="L108" s="34">
        <f>L29</f>
        <v>31.75</v>
      </c>
    </row>
    <row r="109" spans="1:12" ht="21.75" customHeight="1" x14ac:dyDescent="0.25">
      <c r="A109" s="72"/>
      <c r="B109" s="89" t="s">
        <v>122</v>
      </c>
      <c r="C109" s="939" t="s">
        <v>207</v>
      </c>
      <c r="D109" s="939"/>
      <c r="E109" s="939"/>
      <c r="F109" s="939"/>
      <c r="G109" s="939"/>
      <c r="H109" s="939"/>
      <c r="I109" s="939"/>
      <c r="J109" s="939"/>
      <c r="K109" s="939"/>
      <c r="L109" s="34">
        <f>L65</f>
        <v>20.557566200000004</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45.27</v>
      </c>
    </row>
    <row r="113" spans="1:13" ht="21.75" customHeight="1" x14ac:dyDescent="0.25">
      <c r="A113" s="20"/>
      <c r="B113" s="938" t="s">
        <v>209</v>
      </c>
      <c r="C113" s="938"/>
      <c r="D113" s="938"/>
      <c r="E113" s="938"/>
      <c r="F113" s="938"/>
      <c r="G113" s="938"/>
      <c r="H113" s="938"/>
      <c r="I113" s="938"/>
      <c r="J113" s="938"/>
      <c r="K113" s="938"/>
      <c r="L113" s="88">
        <f>SUM(L108:L112)</f>
        <v>97.577566200000007</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5.8546539720000004</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7.0230477496788</v>
      </c>
    </row>
    <row r="118" spans="1:13" ht="21.75" customHeight="1" x14ac:dyDescent="0.25">
      <c r="A118" s="20"/>
      <c r="B118" s="941" t="s">
        <v>125</v>
      </c>
      <c r="C118" s="22" t="s">
        <v>213</v>
      </c>
      <c r="D118" s="22"/>
      <c r="E118" s="22"/>
      <c r="F118" s="22"/>
      <c r="G118" s="22"/>
      <c r="H118" s="22"/>
      <c r="I118" s="22"/>
      <c r="J118" s="92" t="s">
        <v>60</v>
      </c>
      <c r="K118" s="942">
        <f>SUM(J119:J121)</f>
        <v>9.6500000000000002E-2</v>
      </c>
      <c r="L118" s="943">
        <f>K118*L125</f>
        <v>11.797380580456009</v>
      </c>
    </row>
    <row r="119" spans="1:13" ht="21.75" customHeight="1" x14ac:dyDescent="0.25">
      <c r="A119" s="20"/>
      <c r="B119" s="941"/>
      <c r="C119" s="37"/>
      <c r="D119" s="944" t="s">
        <v>214</v>
      </c>
      <c r="E119" s="944"/>
      <c r="F119" s="944"/>
      <c r="G119" s="93" t="s">
        <v>215</v>
      </c>
      <c r="H119" s="94"/>
      <c r="I119" s="94"/>
      <c r="J119" s="95">
        <f>'DADOS INICIAIS'!H96</f>
        <v>1.6500000000000001E-2</v>
      </c>
      <c r="K119" s="942"/>
      <c r="L119" s="943"/>
    </row>
    <row r="120" spans="1:13" ht="21.75" customHeight="1" x14ac:dyDescent="0.25">
      <c r="A120" s="20"/>
      <c r="B120" s="941"/>
      <c r="C120" s="20"/>
      <c r="D120" s="20"/>
      <c r="E120" s="20"/>
      <c r="F120" s="20"/>
      <c r="G120" s="93" t="s">
        <v>216</v>
      </c>
      <c r="H120" s="94"/>
      <c r="I120" s="94"/>
      <c r="J120" s="95">
        <f>'DADOS INICIAIS'!H97</f>
        <v>0.03</v>
      </c>
      <c r="K120" s="942"/>
      <c r="L120" s="943"/>
    </row>
    <row r="121" spans="1:13" ht="21.75" customHeight="1" x14ac:dyDescent="0.25">
      <c r="A121" s="20"/>
      <c r="B121" s="941"/>
      <c r="C121" s="20"/>
      <c r="D121" s="944" t="s">
        <v>217</v>
      </c>
      <c r="E121" s="944"/>
      <c r="F121" s="944"/>
      <c r="G121" s="93" t="s">
        <v>218</v>
      </c>
      <c r="H121" s="94"/>
      <c r="I121" s="94"/>
      <c r="J121" s="95">
        <f>'DADOS INICIAIS'!H98</f>
        <v>0.05</v>
      </c>
      <c r="K121" s="942"/>
      <c r="L121" s="943"/>
      <c r="M121" s="96"/>
    </row>
    <row r="122" spans="1:13" s="73" customFormat="1" ht="21.75" customHeight="1" x14ac:dyDescent="0.25">
      <c r="A122" s="72"/>
      <c r="B122" s="21" t="s">
        <v>219</v>
      </c>
      <c r="C122" s="24"/>
      <c r="D122" s="24"/>
      <c r="E122" s="24"/>
      <c r="F122" s="24"/>
      <c r="G122" s="24"/>
      <c r="H122" s="24"/>
      <c r="I122" s="24"/>
      <c r="J122" s="97"/>
      <c r="K122" s="97"/>
      <c r="L122" s="88">
        <f>SUM(L116:L118)</f>
        <v>24.675082302134811</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45" t="s">
        <v>221</v>
      </c>
      <c r="C125" s="945"/>
      <c r="D125" s="945"/>
      <c r="E125" s="945"/>
      <c r="F125" s="945"/>
      <c r="G125" s="945"/>
      <c r="H125" s="945"/>
      <c r="I125" s="99"/>
      <c r="J125" s="99"/>
      <c r="K125" s="99"/>
      <c r="L125" s="100">
        <f>(L113+L116+L117)/(1-K118)</f>
        <v>122.2526485021348</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46" t="s">
        <v>222</v>
      </c>
      <c r="C127" s="946"/>
      <c r="D127" s="946"/>
      <c r="E127" s="946"/>
      <c r="F127" s="946"/>
      <c r="G127" s="946"/>
      <c r="H127" s="946"/>
      <c r="I127" s="946"/>
      <c r="J127" s="946"/>
      <c r="K127" s="946"/>
      <c r="L127" s="946"/>
    </row>
    <row r="128" spans="1:13" ht="57" customHeight="1" x14ac:dyDescent="0.25">
      <c r="A128" s="20"/>
      <c r="B128" s="947" t="s">
        <v>223</v>
      </c>
      <c r="C128" s="947"/>
      <c r="D128" s="947"/>
      <c r="E128" s="948" t="s">
        <v>224</v>
      </c>
      <c r="F128" s="948"/>
      <c r="G128" s="948" t="s">
        <v>225</v>
      </c>
      <c r="H128" s="948"/>
      <c r="I128" s="948" t="s">
        <v>226</v>
      </c>
      <c r="J128" s="948"/>
      <c r="K128" s="102" t="s">
        <v>227</v>
      </c>
      <c r="L128" s="103" t="s">
        <v>228</v>
      </c>
    </row>
    <row r="129" spans="1:12" ht="21.75" customHeight="1" x14ac:dyDescent="0.25">
      <c r="A129" s="20"/>
      <c r="B129" s="950" t="str">
        <f>'DADOS INICIAIS'!L17</f>
        <v>Pedreiro</v>
      </c>
      <c r="C129" s="950"/>
      <c r="D129" s="950"/>
      <c r="E129" s="951">
        <f>L125</f>
        <v>122.2526485021348</v>
      </c>
      <c r="F129" s="951"/>
      <c r="G129" s="952">
        <v>1</v>
      </c>
      <c r="H129" s="952"/>
      <c r="I129" s="951">
        <f>G129*E129</f>
        <v>122.2526485021348</v>
      </c>
      <c r="J129" s="951"/>
      <c r="K129" s="104">
        <f>L12</f>
        <v>1</v>
      </c>
      <c r="L129" s="105">
        <f>ROUND(K129*I129,2)</f>
        <v>122.25</v>
      </c>
    </row>
    <row r="130" spans="1:12" ht="21.75" customHeight="1" x14ac:dyDescent="0.25">
      <c r="A130" s="20"/>
      <c r="B130" s="949" t="s">
        <v>305</v>
      </c>
      <c r="C130" s="949"/>
      <c r="D130" s="949"/>
      <c r="E130" s="949"/>
      <c r="F130" s="949"/>
      <c r="G130" s="949"/>
      <c r="H130" s="949"/>
      <c r="I130" s="949"/>
      <c r="J130" s="949"/>
      <c r="K130" s="949"/>
      <c r="L130" s="106">
        <f>L129</f>
        <v>122.25</v>
      </c>
    </row>
    <row r="131" spans="1:12" ht="21.75" customHeight="1" x14ac:dyDescent="0.25">
      <c r="A131" s="20"/>
      <c r="B131" s="949" t="s">
        <v>303</v>
      </c>
      <c r="C131" s="949"/>
      <c r="D131" s="949"/>
      <c r="E131" s="949"/>
      <c r="F131" s="949"/>
      <c r="G131" s="949"/>
      <c r="H131" s="949"/>
      <c r="I131" s="949"/>
      <c r="J131" s="949"/>
      <c r="K131" s="949"/>
      <c r="L131" s="106">
        <f>L130/220</f>
        <v>0.55568181818181817</v>
      </c>
    </row>
    <row r="132" spans="1:12" ht="21.75" customHeight="1" x14ac:dyDescent="0.25">
      <c r="A132" s="20"/>
      <c r="B132" s="1017"/>
      <c r="C132" s="1017"/>
      <c r="D132" s="1017"/>
      <c r="E132" s="1017"/>
      <c r="F132" s="1017"/>
      <c r="G132" s="1017"/>
      <c r="H132" s="1017"/>
      <c r="I132" s="1017"/>
      <c r="J132" s="1017"/>
      <c r="K132" s="1017"/>
      <c r="L132" s="165"/>
    </row>
    <row r="133" spans="1:12" ht="21.75" customHeight="1" x14ac:dyDescent="0.25">
      <c r="A133" s="20"/>
      <c r="B133" s="1017"/>
      <c r="C133" s="1017"/>
      <c r="D133" s="1017"/>
      <c r="E133" s="1017"/>
      <c r="F133" s="1017"/>
      <c r="G133" s="1017"/>
      <c r="H133" s="1017"/>
      <c r="I133" s="1017"/>
      <c r="J133" s="1017"/>
      <c r="K133" s="1017"/>
      <c r="L133" s="165"/>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 ref="B106:L106"/>
    <mergeCell ref="B107:K107"/>
    <mergeCell ref="C108:K108"/>
    <mergeCell ref="C109:K109"/>
    <mergeCell ref="B113:K113"/>
    <mergeCell ref="B114:L114"/>
    <mergeCell ref="B115:K115"/>
    <mergeCell ref="B118:B121"/>
    <mergeCell ref="K118:K121"/>
    <mergeCell ref="L118:L121"/>
    <mergeCell ref="D119:F119"/>
    <mergeCell ref="D121:F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44"/>
  <sheetViews>
    <sheetView topLeftCell="A112" workbookViewId="0">
      <selection activeCell="B131" sqref="B131"/>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899" t="s">
        <v>106</v>
      </c>
      <c r="C1" s="899"/>
      <c r="D1" s="899"/>
      <c r="E1" s="899"/>
      <c r="F1" s="899"/>
      <c r="G1" s="899"/>
      <c r="H1" s="899"/>
      <c r="I1" s="899"/>
      <c r="J1" s="899"/>
      <c r="K1" s="1008"/>
      <c r="L1" s="1008"/>
    </row>
    <row r="2" spans="1:12" ht="21.75" customHeight="1" x14ac:dyDescent="0.25">
      <c r="A2" s="20"/>
      <c r="B2" s="901" t="s">
        <v>2</v>
      </c>
      <c r="C2" s="901"/>
      <c r="D2" s="901"/>
      <c r="E2" s="902" t="str">
        <f>'DADOS INICIAIS'!D2</f>
        <v>16034.720017/2023-24</v>
      </c>
      <c r="F2" s="902"/>
      <c r="G2" s="902"/>
      <c r="H2" s="902"/>
      <c r="I2" s="902"/>
      <c r="J2" s="902"/>
      <c r="K2" s="1008"/>
      <c r="L2" s="1008"/>
    </row>
    <row r="3" spans="1:12" ht="21.75" customHeight="1" x14ac:dyDescent="0.25">
      <c r="A3" s="20"/>
      <c r="B3" s="901" t="s">
        <v>3</v>
      </c>
      <c r="C3" s="901"/>
      <c r="D3" s="901"/>
      <c r="E3" s="903" t="str">
        <f>'DADOS INICIAIS'!D3</f>
        <v>Pregão DRF/JUN nº 10/2023</v>
      </c>
      <c r="F3" s="903"/>
      <c r="G3" s="903"/>
      <c r="H3" s="903"/>
      <c r="I3" s="903"/>
      <c r="J3" s="903"/>
      <c r="K3" s="1008"/>
      <c r="L3" s="1008"/>
    </row>
    <row r="4" spans="1:12" ht="21.75" customHeight="1" x14ac:dyDescent="0.25">
      <c r="A4" s="20"/>
      <c r="B4" s="901" t="s">
        <v>4</v>
      </c>
      <c r="C4" s="901"/>
      <c r="D4" s="901"/>
      <c r="E4" s="904" t="str">
        <f>'DADOS INICIAIS'!D4</f>
        <v>XX/XX/2023</v>
      </c>
      <c r="F4" s="904"/>
      <c r="G4" s="23"/>
      <c r="H4" s="24" t="s">
        <v>5</v>
      </c>
      <c r="I4" s="905">
        <f>'DADOS INICIAIS'!H4</f>
        <v>0.375</v>
      </c>
      <c r="J4" s="905"/>
      <c r="K4" s="1008"/>
      <c r="L4" s="1008"/>
    </row>
    <row r="5" spans="1:12" ht="21.75" customHeight="1" x14ac:dyDescent="0.25">
      <c r="A5" s="20"/>
      <c r="B5" s="25"/>
      <c r="C5" s="26"/>
      <c r="D5" s="26"/>
      <c r="E5" s="26"/>
      <c r="F5" s="26"/>
      <c r="G5" s="26"/>
      <c r="H5" s="26"/>
      <c r="I5" s="26"/>
      <c r="J5" s="26"/>
      <c r="K5" s="1008"/>
      <c r="L5" s="1008"/>
    </row>
    <row r="6" spans="1:12" ht="21.75" customHeight="1" x14ac:dyDescent="0.25">
      <c r="A6" s="20"/>
      <c r="B6" s="901" t="s">
        <v>107</v>
      </c>
      <c r="C6" s="901"/>
      <c r="D6" s="901"/>
      <c r="E6" s="906" t="str">
        <f>'DADOS INICIAIS'!D1</f>
        <v>Manutenção Predial</v>
      </c>
      <c r="F6" s="906"/>
      <c r="G6" s="906"/>
      <c r="H6" s="906"/>
      <c r="I6" s="906"/>
      <c r="J6" s="906"/>
      <c r="K6" s="1008"/>
      <c r="L6" s="1008"/>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1009" t="str">
        <f>'DADOS INICIAIS'!D6</f>
        <v>JUNDIAÍ</v>
      </c>
      <c r="H8" s="1009"/>
      <c r="I8" s="1009"/>
      <c r="J8" s="1009"/>
      <c r="K8" s="1009"/>
      <c r="L8" s="1009"/>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114</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INICIAIS'!M16</f>
        <v>36.479999999999997</v>
      </c>
    </row>
    <row r="16" spans="1:12" ht="21.75" customHeight="1" x14ac:dyDescent="0.25">
      <c r="A16" s="20"/>
      <c r="B16" s="33">
        <v>2</v>
      </c>
      <c r="C16" s="22" t="s">
        <v>116</v>
      </c>
      <c r="D16" s="22"/>
      <c r="E16" s="22"/>
      <c r="F16" s="22"/>
      <c r="G16" s="22"/>
      <c r="H16" s="22"/>
      <c r="I16" s="22"/>
      <c r="J16" s="22"/>
      <c r="K16" s="22"/>
      <c r="L16" s="35" t="str">
        <f>'DADOS INICIAIS'!M17</f>
        <v>Pintor</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10" t="s">
        <v>118</v>
      </c>
      <c r="D18" s="910"/>
      <c r="E18" s="910"/>
      <c r="F18" s="910"/>
      <c r="G18" s="910"/>
      <c r="H18" s="910"/>
      <c r="I18" s="910"/>
      <c r="J18" s="910"/>
      <c r="K18" s="910"/>
      <c r="L18" s="39" t="str">
        <f>'DADOS INICIAIS'!M15</f>
        <v>7233-10</v>
      </c>
    </row>
    <row r="19" spans="1:12" ht="21.75" customHeight="1" x14ac:dyDescent="0.25">
      <c r="A19" s="20"/>
      <c r="B19" s="40"/>
      <c r="C19" s="20"/>
      <c r="D19" s="20"/>
      <c r="E19" s="20"/>
      <c r="F19" s="20"/>
      <c r="G19" s="20"/>
      <c r="H19" s="20"/>
      <c r="I19" s="20"/>
      <c r="J19" s="20"/>
      <c r="K19" s="20"/>
      <c r="L19" s="41"/>
    </row>
    <row r="20" spans="1:12" ht="21.75" customHeight="1" x14ac:dyDescent="0.25">
      <c r="A20" s="20"/>
      <c r="B20" s="911" t="s">
        <v>119</v>
      </c>
      <c r="C20" s="911"/>
      <c r="D20" s="911"/>
      <c r="E20" s="911"/>
      <c r="F20" s="911"/>
      <c r="G20" s="911"/>
      <c r="H20" s="911"/>
      <c r="I20" s="911"/>
      <c r="J20" s="911"/>
      <c r="K20" s="911"/>
      <c r="L20" s="42" t="s">
        <v>72</v>
      </c>
    </row>
    <row r="21" spans="1:12" ht="21.75" customHeight="1" x14ac:dyDescent="0.25">
      <c r="A21" s="20"/>
      <c r="B21" s="33" t="s">
        <v>120</v>
      </c>
      <c r="C21" s="22" t="s">
        <v>121</v>
      </c>
      <c r="D21" s="22"/>
      <c r="E21" s="22"/>
      <c r="F21" s="22"/>
      <c r="G21" s="22"/>
      <c r="H21" s="22"/>
      <c r="I21" s="22"/>
      <c r="J21" s="22"/>
      <c r="K21" s="43"/>
      <c r="L21" s="44">
        <f>'DADOS INICIAIS'!M19</f>
        <v>36.479999999999997</v>
      </c>
    </row>
    <row r="22" spans="1:12" ht="21.75" customHeight="1" x14ac:dyDescent="0.25">
      <c r="A22" s="20"/>
      <c r="B22" s="33" t="s">
        <v>122</v>
      </c>
      <c r="C22" s="37" t="s">
        <v>30</v>
      </c>
      <c r="D22" s="37"/>
      <c r="E22" s="37"/>
      <c r="F22" s="43" t="s">
        <v>123</v>
      </c>
      <c r="G22" s="43"/>
      <c r="H22" s="37"/>
      <c r="I22" s="43" t="s">
        <v>124</v>
      </c>
      <c r="J22" s="20"/>
      <c r="K22" s="45">
        <f>'DADOS INICIAIS'!M20</f>
        <v>0</v>
      </c>
      <c r="L22" s="44">
        <f>L21*K22</f>
        <v>0</v>
      </c>
    </row>
    <row r="23" spans="1:12" ht="21.75" customHeight="1" x14ac:dyDescent="0.25">
      <c r="A23" s="20"/>
      <c r="B23" s="912" t="s">
        <v>125</v>
      </c>
      <c r="C23" s="37" t="s">
        <v>126</v>
      </c>
      <c r="D23" s="37"/>
      <c r="E23" s="37"/>
      <c r="F23" s="43" t="s">
        <v>127</v>
      </c>
      <c r="G23" s="43"/>
      <c r="H23" s="37"/>
      <c r="I23" s="37"/>
      <c r="J23" s="37"/>
      <c r="K23" s="137"/>
      <c r="L23" s="913">
        <f>L21*K23</f>
        <v>0</v>
      </c>
    </row>
    <row r="24" spans="1:12" ht="21.75" customHeight="1" x14ac:dyDescent="0.25">
      <c r="A24" s="20"/>
      <c r="B24" s="912"/>
      <c r="C24" s="31"/>
      <c r="D24" s="31"/>
      <c r="E24" s="31"/>
      <c r="F24" s="46" t="s">
        <v>128</v>
      </c>
      <c r="G24" s="46"/>
      <c r="H24" s="31"/>
      <c r="I24" s="47" t="s">
        <v>129</v>
      </c>
      <c r="J24" s="48"/>
      <c r="K24" s="143"/>
      <c r="L24" s="913"/>
    </row>
    <row r="25" spans="1:12" ht="21.75" customHeight="1" x14ac:dyDescent="0.25">
      <c r="A25" s="20"/>
      <c r="B25" s="33" t="s">
        <v>130</v>
      </c>
      <c r="C25" s="914" t="s">
        <v>131</v>
      </c>
      <c r="D25" s="914"/>
      <c r="E25" s="914"/>
      <c r="F25" s="914"/>
      <c r="G25" s="914"/>
      <c r="H25" s="914"/>
      <c r="I25" s="914"/>
      <c r="J25" s="914"/>
      <c r="K25" s="914"/>
      <c r="L25" s="44"/>
    </row>
    <row r="26" spans="1:12" ht="21.75" customHeight="1" x14ac:dyDescent="0.25">
      <c r="A26" s="20"/>
      <c r="B26" s="33" t="s">
        <v>132</v>
      </c>
      <c r="C26" s="914" t="s">
        <v>116</v>
      </c>
      <c r="D26" s="914"/>
      <c r="E26" s="914"/>
      <c r="F26" s="914"/>
      <c r="G26" s="914"/>
      <c r="H26" s="914"/>
      <c r="I26" s="914"/>
      <c r="J26" s="914"/>
      <c r="K26" s="914"/>
      <c r="L26" s="44" t="str">
        <f>L16</f>
        <v>Pintor</v>
      </c>
    </row>
    <row r="27" spans="1:12" ht="21.75" customHeight="1" x14ac:dyDescent="0.25">
      <c r="A27" s="20"/>
      <c r="B27" s="33" t="s">
        <v>133</v>
      </c>
      <c r="C27" s="914" t="s">
        <v>134</v>
      </c>
      <c r="D27" s="914"/>
      <c r="E27" s="914"/>
      <c r="F27" s="914"/>
      <c r="G27" s="914"/>
      <c r="H27" s="914"/>
      <c r="I27" s="914"/>
      <c r="J27" s="914"/>
      <c r="K27" s="914"/>
      <c r="L27" s="44"/>
    </row>
    <row r="28" spans="1:12" ht="21.75" customHeight="1" x14ac:dyDescent="0.25">
      <c r="A28" s="20"/>
      <c r="B28" s="33" t="s">
        <v>135</v>
      </c>
      <c r="C28" s="914" t="s">
        <v>136</v>
      </c>
      <c r="D28" s="914"/>
      <c r="E28" s="914"/>
      <c r="F28" s="914"/>
      <c r="G28" s="914"/>
      <c r="H28" s="914"/>
      <c r="I28" s="914"/>
      <c r="J28" s="914"/>
      <c r="K28" s="914"/>
      <c r="L28" s="44"/>
    </row>
    <row r="29" spans="1:12" ht="21.75" customHeight="1" x14ac:dyDescent="0.25">
      <c r="A29" s="20"/>
      <c r="B29" s="911" t="s">
        <v>137</v>
      </c>
      <c r="C29" s="911"/>
      <c r="D29" s="911"/>
      <c r="E29" s="911"/>
      <c r="F29" s="911"/>
      <c r="G29" s="49"/>
      <c r="H29" s="49"/>
      <c r="I29" s="49"/>
      <c r="J29" s="49"/>
      <c r="K29" s="49"/>
      <c r="L29" s="50">
        <f>SUM(L21:L28)</f>
        <v>36.479999999999997</v>
      </c>
    </row>
    <row r="30" spans="1:12" ht="21.75" customHeight="1" x14ac:dyDescent="0.25">
      <c r="A30" s="20"/>
      <c r="B30" s="915"/>
      <c r="C30" s="915"/>
      <c r="D30" s="915"/>
      <c r="E30" s="915"/>
      <c r="F30" s="915"/>
      <c r="G30" s="915"/>
      <c r="H30" s="915"/>
      <c r="I30" s="915"/>
      <c r="J30" s="915"/>
      <c r="K30" s="915"/>
      <c r="L30" s="915"/>
    </row>
    <row r="31" spans="1:12" ht="21.75" customHeight="1" x14ac:dyDescent="0.25">
      <c r="A31" s="20"/>
      <c r="B31" s="1010" t="s">
        <v>138</v>
      </c>
      <c r="C31" s="1010"/>
      <c r="D31" s="1010"/>
      <c r="E31" s="1010"/>
      <c r="F31" s="1010"/>
      <c r="G31" s="1010"/>
      <c r="H31" s="1010"/>
      <c r="I31" s="1010"/>
      <c r="J31" s="1010"/>
      <c r="K31" s="1010"/>
      <c r="L31" s="1010"/>
    </row>
    <row r="32" spans="1:12" ht="21.75" customHeight="1" x14ac:dyDescent="0.25">
      <c r="A32" s="20"/>
      <c r="B32" s="1011" t="s">
        <v>139</v>
      </c>
      <c r="C32" s="1011"/>
      <c r="D32" s="1011"/>
      <c r="E32" s="1011"/>
      <c r="F32" s="1011"/>
      <c r="G32" s="1011"/>
      <c r="H32" s="1011"/>
      <c r="I32" s="1011"/>
      <c r="J32" s="1011"/>
      <c r="K32" s="1011"/>
      <c r="L32" s="1011"/>
    </row>
    <row r="33" spans="1:12" ht="21.75" customHeight="1" x14ac:dyDescent="0.25">
      <c r="A33" s="20"/>
      <c r="B33" s="51" t="s">
        <v>120</v>
      </c>
      <c r="C33" s="918" t="s">
        <v>140</v>
      </c>
      <c r="D33" s="918"/>
      <c r="E33" s="918"/>
      <c r="F33" s="918"/>
      <c r="G33" s="918"/>
      <c r="H33" s="918"/>
      <c r="I33" s="918"/>
      <c r="J33" s="918"/>
      <c r="K33" s="52">
        <v>8.3299999999999999E-2</v>
      </c>
      <c r="L33" s="53">
        <f>L29*K33</f>
        <v>3.0387839999999997</v>
      </c>
    </row>
    <row r="34" spans="1:12" ht="21.75" customHeight="1" x14ac:dyDescent="0.25">
      <c r="A34" s="20"/>
      <c r="B34" s="51" t="s">
        <v>122</v>
      </c>
      <c r="C34" s="918" t="s">
        <v>141</v>
      </c>
      <c r="D34" s="918"/>
      <c r="E34" s="918"/>
      <c r="F34" s="918"/>
      <c r="G34" s="918"/>
      <c r="H34" s="918"/>
      <c r="I34" s="918"/>
      <c r="J34" s="918"/>
      <c r="K34" s="52">
        <v>0.121</v>
      </c>
      <c r="L34" s="53">
        <f>L29*K34</f>
        <v>4.4140799999999993</v>
      </c>
    </row>
    <row r="35" spans="1:12" ht="21.75" customHeight="1" x14ac:dyDescent="0.25">
      <c r="A35" s="20"/>
      <c r="B35" s="51" t="s">
        <v>125</v>
      </c>
      <c r="C35" s="918" t="s">
        <v>142</v>
      </c>
      <c r="D35" s="918"/>
      <c r="E35" s="918"/>
      <c r="F35" s="918"/>
      <c r="G35" s="918"/>
      <c r="H35" s="918"/>
      <c r="I35" s="918"/>
      <c r="J35" s="918"/>
      <c r="K35" s="52">
        <f>(K33+K34)*K39</f>
        <v>7.518240000000001E-2</v>
      </c>
      <c r="L35" s="53">
        <f>L29*K35</f>
        <v>2.742653952</v>
      </c>
    </row>
    <row r="36" spans="1:12" ht="21.75" customHeight="1" x14ac:dyDescent="0.25">
      <c r="A36" s="20"/>
      <c r="B36" s="54"/>
      <c r="C36" s="919"/>
      <c r="D36" s="919"/>
      <c r="E36" s="919"/>
      <c r="F36" s="919"/>
      <c r="G36" s="919"/>
      <c r="H36" s="919"/>
      <c r="I36" s="919"/>
      <c r="J36" s="919"/>
      <c r="K36" s="55">
        <f>K33+K34+K35</f>
        <v>0.27948240000000002</v>
      </c>
      <c r="L36" s="56">
        <f>L29*K36</f>
        <v>10.195517951999999</v>
      </c>
    </row>
    <row r="37" spans="1:12" ht="21.75" customHeight="1" x14ac:dyDescent="0.25">
      <c r="A37" s="20"/>
      <c r="B37" s="920"/>
      <c r="C37" s="920"/>
      <c r="D37" s="920"/>
      <c r="E37" s="920"/>
      <c r="F37" s="920"/>
      <c r="G37" s="920"/>
      <c r="H37" s="920"/>
      <c r="I37" s="920"/>
      <c r="J37" s="920"/>
      <c r="K37" s="920"/>
      <c r="L37" s="920"/>
    </row>
    <row r="38" spans="1:12" ht="21.75" customHeight="1" x14ac:dyDescent="0.25">
      <c r="A38" s="20"/>
      <c r="B38" s="1012" t="s">
        <v>143</v>
      </c>
      <c r="C38" s="1012"/>
      <c r="D38" s="1012"/>
      <c r="E38" s="1012"/>
      <c r="F38" s="1012"/>
      <c r="G38" s="1012"/>
      <c r="H38" s="1012"/>
      <c r="I38" s="1012"/>
      <c r="J38" s="1012"/>
      <c r="K38" s="1012"/>
      <c r="L38" s="1012"/>
    </row>
    <row r="39" spans="1:12" ht="21.75" customHeight="1" x14ac:dyDescent="0.25">
      <c r="A39" s="20"/>
      <c r="B39" s="57" t="s">
        <v>144</v>
      </c>
      <c r="C39" s="20"/>
      <c r="D39" s="20"/>
      <c r="E39" s="20"/>
      <c r="F39" s="20"/>
      <c r="G39" s="20"/>
      <c r="H39" s="20"/>
      <c r="I39" s="20"/>
      <c r="J39" s="20"/>
      <c r="K39" s="58">
        <f>SUM(K40:K47)</f>
        <v>0.3680000000000001</v>
      </c>
      <c r="L39" s="59">
        <f>SUM(L40:L47)</f>
        <v>13.42464</v>
      </c>
    </row>
    <row r="40" spans="1:12" ht="21.75" customHeight="1" x14ac:dyDescent="0.25">
      <c r="A40" s="20"/>
      <c r="B40" s="33" t="s">
        <v>120</v>
      </c>
      <c r="C40" s="922" t="s">
        <v>145</v>
      </c>
      <c r="D40" s="922"/>
      <c r="E40" s="922"/>
      <c r="F40" s="922"/>
      <c r="G40" s="922"/>
      <c r="H40" s="922"/>
      <c r="I40" s="922"/>
      <c r="J40" s="922"/>
      <c r="K40" s="60">
        <v>0.2</v>
      </c>
      <c r="L40" s="44">
        <f t="shared" ref="L40:L47" si="0">K40*$L$29</f>
        <v>7.2959999999999994</v>
      </c>
    </row>
    <row r="41" spans="1:12" ht="21.75" customHeight="1" x14ac:dyDescent="0.25">
      <c r="A41" s="20"/>
      <c r="B41" s="33" t="s">
        <v>122</v>
      </c>
      <c r="C41" s="922" t="s">
        <v>146</v>
      </c>
      <c r="D41" s="922"/>
      <c r="E41" s="922"/>
      <c r="F41" s="922"/>
      <c r="G41" s="922"/>
      <c r="H41" s="922"/>
      <c r="I41" s="922"/>
      <c r="J41" s="922"/>
      <c r="K41" s="60">
        <v>1.4999999999999999E-2</v>
      </c>
      <c r="L41" s="44">
        <f t="shared" si="0"/>
        <v>0.54719999999999991</v>
      </c>
    </row>
    <row r="42" spans="1:12" ht="21.75" customHeight="1" x14ac:dyDescent="0.25">
      <c r="A42" s="20"/>
      <c r="B42" s="33" t="s">
        <v>125</v>
      </c>
      <c r="C42" s="922" t="s">
        <v>147</v>
      </c>
      <c r="D42" s="922"/>
      <c r="E42" s="922"/>
      <c r="F42" s="922"/>
      <c r="G42" s="922"/>
      <c r="H42" s="922"/>
      <c r="I42" s="922"/>
      <c r="J42" s="922"/>
      <c r="K42" s="60">
        <v>0.01</v>
      </c>
      <c r="L42" s="44">
        <f t="shared" si="0"/>
        <v>0.36479999999999996</v>
      </c>
    </row>
    <row r="43" spans="1:12" ht="21.75" customHeight="1" x14ac:dyDescent="0.25">
      <c r="A43" s="20"/>
      <c r="B43" s="33" t="s">
        <v>130</v>
      </c>
      <c r="C43" s="922" t="s">
        <v>148</v>
      </c>
      <c r="D43" s="922"/>
      <c r="E43" s="922"/>
      <c r="F43" s="922"/>
      <c r="G43" s="922"/>
      <c r="H43" s="922"/>
      <c r="I43" s="922"/>
      <c r="J43" s="922"/>
      <c r="K43" s="60">
        <v>2E-3</v>
      </c>
      <c r="L43" s="44">
        <f t="shared" si="0"/>
        <v>7.2959999999999997E-2</v>
      </c>
    </row>
    <row r="44" spans="1:12" ht="21.75" customHeight="1" x14ac:dyDescent="0.25">
      <c r="A44" s="20"/>
      <c r="B44" s="33" t="s">
        <v>132</v>
      </c>
      <c r="C44" s="922" t="s">
        <v>149</v>
      </c>
      <c r="D44" s="922"/>
      <c r="E44" s="922"/>
      <c r="F44" s="922"/>
      <c r="G44" s="922"/>
      <c r="H44" s="922"/>
      <c r="I44" s="922"/>
      <c r="J44" s="922"/>
      <c r="K44" s="60">
        <v>2.5000000000000001E-2</v>
      </c>
      <c r="L44" s="44">
        <f t="shared" si="0"/>
        <v>0.91199999999999992</v>
      </c>
    </row>
    <row r="45" spans="1:12" ht="21.75" customHeight="1" x14ac:dyDescent="0.25">
      <c r="A45" s="20"/>
      <c r="B45" s="33" t="s">
        <v>133</v>
      </c>
      <c r="C45" s="922" t="s">
        <v>150</v>
      </c>
      <c r="D45" s="922"/>
      <c r="E45" s="922"/>
      <c r="F45" s="922"/>
      <c r="G45" s="922"/>
      <c r="H45" s="922"/>
      <c r="I45" s="922"/>
      <c r="J45" s="922"/>
      <c r="K45" s="60">
        <v>0.08</v>
      </c>
      <c r="L45" s="44">
        <f t="shared" si="0"/>
        <v>2.9183999999999997</v>
      </c>
    </row>
    <row r="46" spans="1:12"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1.0943999999999998</v>
      </c>
    </row>
    <row r="47" spans="1:12" ht="21.75" customHeight="1" x14ac:dyDescent="0.25">
      <c r="A47" s="20"/>
      <c r="B47" s="33" t="s">
        <v>153</v>
      </c>
      <c r="C47" s="63" t="s">
        <v>154</v>
      </c>
      <c r="D47" s="64"/>
      <c r="E47" s="64"/>
      <c r="F47" s="64"/>
      <c r="G47" s="64"/>
      <c r="H47" s="64"/>
      <c r="I47" s="64"/>
      <c r="J47" s="65"/>
      <c r="K47" s="60">
        <v>6.0000000000000001E-3</v>
      </c>
      <c r="L47" s="44">
        <f t="shared" si="0"/>
        <v>0.21887999999999999</v>
      </c>
    </row>
    <row r="48" spans="1:12" ht="21.75" customHeight="1" x14ac:dyDescent="0.25">
      <c r="A48" s="20"/>
      <c r="B48" s="915"/>
      <c r="C48" s="915"/>
      <c r="D48" s="915"/>
      <c r="E48" s="915"/>
      <c r="F48" s="915"/>
      <c r="G48" s="915"/>
      <c r="H48" s="915"/>
      <c r="I48" s="915"/>
      <c r="J48" s="915"/>
      <c r="K48" s="915"/>
      <c r="L48" s="915"/>
    </row>
    <row r="49" spans="1:12" ht="21.75" customHeight="1" x14ac:dyDescent="0.25">
      <c r="A49" s="20"/>
      <c r="B49" s="1010" t="s">
        <v>155</v>
      </c>
      <c r="C49" s="1010"/>
      <c r="D49" s="1010"/>
      <c r="E49" s="1010"/>
      <c r="F49" s="1010"/>
      <c r="G49" s="1010"/>
      <c r="H49" s="1010"/>
      <c r="I49" s="1010"/>
      <c r="J49" s="1010"/>
      <c r="K49" s="1010"/>
      <c r="L49" s="1010"/>
    </row>
    <row r="50" spans="1:12" ht="21.75" customHeight="1" x14ac:dyDescent="0.25">
      <c r="A50" s="20"/>
      <c r="B50" s="33" t="s">
        <v>120</v>
      </c>
      <c r="C50" s="924" t="s">
        <v>156</v>
      </c>
      <c r="D50" s="924"/>
      <c r="E50" s="924"/>
      <c r="F50" s="924"/>
      <c r="G50" s="924"/>
      <c r="H50" s="924"/>
      <c r="I50" s="924"/>
      <c r="J50" s="924"/>
      <c r="K50" s="924"/>
      <c r="L50" s="66">
        <f>'DADOS INICIAIS'!M24</f>
        <v>0</v>
      </c>
    </row>
    <row r="51" spans="1:12" ht="21.75" customHeight="1" x14ac:dyDescent="0.25">
      <c r="A51" s="20"/>
      <c r="B51" s="33" t="s">
        <v>122</v>
      </c>
      <c r="C51" s="924" t="s">
        <v>157</v>
      </c>
      <c r="D51" s="924"/>
      <c r="E51" s="924"/>
      <c r="F51" s="924"/>
      <c r="G51" s="924"/>
      <c r="H51" s="924"/>
      <c r="I51" s="924"/>
      <c r="J51" s="924"/>
      <c r="K51" s="924"/>
      <c r="L51" s="66">
        <f>'DADOS INICIAIS'!M31</f>
        <v>0</v>
      </c>
    </row>
    <row r="52" spans="1:12" ht="21.75" customHeight="1" x14ac:dyDescent="0.25">
      <c r="A52" s="20"/>
      <c r="B52" s="33" t="s">
        <v>125</v>
      </c>
      <c r="C52" s="924" t="s">
        <v>37</v>
      </c>
      <c r="D52" s="924"/>
      <c r="E52" s="924"/>
      <c r="F52" s="924"/>
      <c r="G52" s="924"/>
      <c r="H52" s="924"/>
      <c r="I52" s="924"/>
      <c r="J52" s="924"/>
      <c r="K52" s="924"/>
      <c r="L52" s="66">
        <f>'DADOS INICIAIS'!M34</f>
        <v>0</v>
      </c>
    </row>
    <row r="53" spans="1:12" ht="21.75" customHeight="1" x14ac:dyDescent="0.25">
      <c r="A53" s="20"/>
      <c r="B53" s="33" t="s">
        <v>130</v>
      </c>
      <c r="C53" s="924" t="s">
        <v>158</v>
      </c>
      <c r="D53" s="924"/>
      <c r="E53" s="924"/>
      <c r="F53" s="924"/>
      <c r="G53" s="924"/>
      <c r="H53" s="924"/>
      <c r="I53" s="924"/>
      <c r="J53" s="924"/>
      <c r="K53" s="924"/>
      <c r="L53" s="66">
        <f>'DADOS INICIAIS'!M37</f>
        <v>0</v>
      </c>
    </row>
    <row r="54" spans="1:12" ht="21.75" customHeight="1" x14ac:dyDescent="0.25">
      <c r="A54" s="20"/>
      <c r="B54" s="33" t="s">
        <v>132</v>
      </c>
      <c r="C54" s="924" t="s">
        <v>159</v>
      </c>
      <c r="D54" s="924"/>
      <c r="E54" s="924"/>
      <c r="F54" s="924"/>
      <c r="G54" s="924"/>
      <c r="H54" s="924"/>
      <c r="I54" s="924"/>
      <c r="J54" s="924"/>
      <c r="K54" s="924"/>
      <c r="L54" s="66">
        <f>'DADOS INICIAIS'!M40</f>
        <v>0</v>
      </c>
    </row>
    <row r="55" spans="1:12" ht="21.75" customHeight="1" x14ac:dyDescent="0.25">
      <c r="A55" s="20"/>
      <c r="B55" s="33" t="s">
        <v>133</v>
      </c>
      <c r="C55" s="924" t="s">
        <v>160</v>
      </c>
      <c r="D55" s="924"/>
      <c r="E55" s="924"/>
      <c r="F55" s="924"/>
      <c r="G55" s="924"/>
      <c r="H55" s="924"/>
      <c r="I55" s="924"/>
      <c r="J55" s="924"/>
      <c r="K55" s="924"/>
      <c r="L55" s="66">
        <f>'DADOS INICIAIS'!M28</f>
        <v>0</v>
      </c>
    </row>
    <row r="56" spans="1:12" ht="21.75" customHeight="1" x14ac:dyDescent="0.25">
      <c r="A56" s="20"/>
      <c r="B56" s="33" t="s">
        <v>135</v>
      </c>
      <c r="C56" s="924" t="str">
        <f>'DADOS INICIAIS'!C46</f>
        <v>especificar</v>
      </c>
      <c r="D56" s="924"/>
      <c r="E56" s="924"/>
      <c r="F56" s="924"/>
      <c r="G56" s="924"/>
      <c r="H56" s="924"/>
      <c r="I56" s="924"/>
      <c r="J56" s="924"/>
      <c r="K56" s="924"/>
      <c r="L56" s="66">
        <f>'DADOS INICIAIS'!M46</f>
        <v>0</v>
      </c>
    </row>
    <row r="57" spans="1:12" ht="21.75" customHeight="1" x14ac:dyDescent="0.25">
      <c r="A57" s="20"/>
      <c r="B57" s="33" t="s">
        <v>153</v>
      </c>
      <c r="C57" s="924" t="str">
        <f>'DADOS INICIAIS'!C49</f>
        <v>especificar</v>
      </c>
      <c r="D57" s="924"/>
      <c r="E57" s="924"/>
      <c r="F57" s="924"/>
      <c r="G57" s="924"/>
      <c r="H57" s="924"/>
      <c r="I57" s="924"/>
      <c r="J57" s="924"/>
      <c r="K57" s="924"/>
      <c r="L57" s="66">
        <f>'DADOS INICIAIS'!M49</f>
        <v>0</v>
      </c>
    </row>
    <row r="58" spans="1:12" ht="21.75" customHeight="1" x14ac:dyDescent="0.25">
      <c r="A58" s="20"/>
      <c r="B58" s="33" t="s">
        <v>161</v>
      </c>
      <c r="C58" s="910"/>
      <c r="D58" s="910"/>
      <c r="E58" s="910"/>
      <c r="F58" s="910"/>
      <c r="G58" s="910"/>
      <c r="H58" s="910"/>
      <c r="I58" s="910"/>
      <c r="J58" s="910"/>
      <c r="K58" s="910"/>
      <c r="L58" s="164"/>
    </row>
    <row r="59" spans="1:12" ht="21.75" customHeight="1" x14ac:dyDescent="0.25">
      <c r="A59" s="20"/>
      <c r="B59" s="33"/>
      <c r="C59" s="919" t="s">
        <v>162</v>
      </c>
      <c r="D59" s="919"/>
      <c r="E59" s="919"/>
      <c r="F59" s="919"/>
      <c r="G59" s="919"/>
      <c r="H59" s="919"/>
      <c r="I59" s="919"/>
      <c r="J59" s="919"/>
      <c r="K59" s="919"/>
      <c r="L59" s="56">
        <f>SUM(L50:L58)</f>
        <v>0</v>
      </c>
    </row>
    <row r="60" spans="1:12" ht="21.75" customHeight="1" x14ac:dyDescent="0.25">
      <c r="A60" s="20"/>
      <c r="B60" s="920"/>
      <c r="C60" s="920"/>
      <c r="D60" s="920"/>
      <c r="E60" s="920"/>
      <c r="F60" s="920"/>
      <c r="G60" s="920"/>
      <c r="H60" s="920"/>
      <c r="I60" s="920"/>
      <c r="J60" s="920"/>
      <c r="K60" s="920"/>
      <c r="L60" s="920"/>
    </row>
    <row r="61" spans="1:12" ht="21.75" customHeight="1" x14ac:dyDescent="0.25">
      <c r="A61" s="20"/>
      <c r="B61" s="1012" t="s">
        <v>163</v>
      </c>
      <c r="C61" s="1012"/>
      <c r="D61" s="1012"/>
      <c r="E61" s="1012"/>
      <c r="F61" s="1012"/>
      <c r="G61" s="1012"/>
      <c r="H61" s="1012"/>
      <c r="I61" s="1012"/>
      <c r="J61" s="1012"/>
      <c r="K61" s="1012"/>
      <c r="L61" s="1012"/>
    </row>
    <row r="62" spans="1:12" ht="21.75" customHeight="1" x14ac:dyDescent="0.25">
      <c r="A62" s="20"/>
      <c r="B62" s="67" t="s">
        <v>164</v>
      </c>
      <c r="C62" s="925" t="s">
        <v>165</v>
      </c>
      <c r="D62" s="925"/>
      <c r="E62" s="925"/>
      <c r="F62" s="925"/>
      <c r="G62" s="925"/>
      <c r="H62" s="925"/>
      <c r="I62" s="925"/>
      <c r="J62" s="925"/>
      <c r="K62" s="68">
        <f>K36</f>
        <v>0.27948240000000002</v>
      </c>
      <c r="L62" s="69">
        <f>K62*L29</f>
        <v>10.195517951999999</v>
      </c>
    </row>
    <row r="63" spans="1:12" ht="21.75" customHeight="1" x14ac:dyDescent="0.25">
      <c r="A63" s="20"/>
      <c r="B63" s="67" t="s">
        <v>166</v>
      </c>
      <c r="C63" s="926" t="s">
        <v>167</v>
      </c>
      <c r="D63" s="926"/>
      <c r="E63" s="926"/>
      <c r="F63" s="926"/>
      <c r="G63" s="926"/>
      <c r="H63" s="926"/>
      <c r="I63" s="926"/>
      <c r="J63" s="926"/>
      <c r="K63" s="68">
        <f>K39</f>
        <v>0.3680000000000001</v>
      </c>
      <c r="L63" s="69">
        <f>K63*L29</f>
        <v>13.424640000000002</v>
      </c>
    </row>
    <row r="64" spans="1:12" ht="21.75" customHeight="1" x14ac:dyDescent="0.25">
      <c r="A64" s="20"/>
      <c r="B64" s="67" t="s">
        <v>168</v>
      </c>
      <c r="C64" s="926" t="s">
        <v>169</v>
      </c>
      <c r="D64" s="926"/>
      <c r="E64" s="926"/>
      <c r="F64" s="926"/>
      <c r="G64" s="926"/>
      <c r="H64" s="926"/>
      <c r="I64" s="926"/>
      <c r="J64" s="926"/>
      <c r="K64" s="926"/>
      <c r="L64" s="69">
        <f>L59</f>
        <v>0</v>
      </c>
    </row>
    <row r="65" spans="1:12" ht="21.75" customHeight="1" x14ac:dyDescent="0.25">
      <c r="A65" s="20"/>
      <c r="B65" s="70"/>
      <c r="C65" s="927" t="s">
        <v>162</v>
      </c>
      <c r="D65" s="927"/>
      <c r="E65" s="927"/>
      <c r="F65" s="927"/>
      <c r="G65" s="927"/>
      <c r="H65" s="927"/>
      <c r="I65" s="927"/>
      <c r="J65" s="927"/>
      <c r="K65" s="927"/>
      <c r="L65" s="71">
        <f>L62+L63+L64</f>
        <v>23.620157952</v>
      </c>
    </row>
    <row r="66" spans="1:12" s="73" customFormat="1" ht="21.75" customHeight="1" x14ac:dyDescent="0.25">
      <c r="A66" s="72"/>
      <c r="B66" s="915"/>
      <c r="C66" s="915"/>
      <c r="D66" s="915"/>
      <c r="E66" s="915"/>
      <c r="F66" s="915"/>
      <c r="G66" s="915"/>
      <c r="H66" s="915"/>
      <c r="I66" s="915"/>
      <c r="J66" s="915"/>
      <c r="K66" s="915"/>
      <c r="L66" s="915"/>
    </row>
    <row r="67" spans="1:12" ht="21.75" customHeight="1" x14ac:dyDescent="0.25">
      <c r="A67" s="72"/>
      <c r="B67" s="1010" t="s">
        <v>170</v>
      </c>
      <c r="C67" s="1010"/>
      <c r="D67" s="1010"/>
      <c r="E67" s="1010"/>
      <c r="F67" s="1010"/>
      <c r="G67" s="1010"/>
      <c r="H67" s="1010"/>
      <c r="I67" s="1010"/>
      <c r="J67" s="1010"/>
      <c r="K67" s="1010"/>
      <c r="L67" s="1010"/>
    </row>
    <row r="68" spans="1:12" ht="21.75" customHeight="1" x14ac:dyDescent="0.25">
      <c r="A68" s="72"/>
      <c r="B68" s="33" t="s">
        <v>120</v>
      </c>
      <c r="C68" s="74" t="s">
        <v>171</v>
      </c>
      <c r="D68" s="75"/>
      <c r="E68" s="3">
        <v>30</v>
      </c>
      <c r="F68" s="2" t="s">
        <v>172</v>
      </c>
      <c r="G68" s="928" t="s">
        <v>173</v>
      </c>
      <c r="H68" s="928"/>
      <c r="I68" s="1013">
        <f>OFICIAL!I66</f>
        <v>0.05</v>
      </c>
      <c r="J68" s="1013"/>
      <c r="K68" s="76">
        <v>0</v>
      </c>
      <c r="L68" s="66">
        <f t="shared" ref="L68:L74" si="1">K68*$L$29</f>
        <v>0</v>
      </c>
    </row>
    <row r="69" spans="1:12" ht="21.75" customHeight="1" x14ac:dyDescent="0.25">
      <c r="A69" s="72"/>
      <c r="B69" s="33" t="s">
        <v>122</v>
      </c>
      <c r="C69" s="930" t="s">
        <v>174</v>
      </c>
      <c r="D69" s="930"/>
      <c r="E69" s="930"/>
      <c r="F69" s="930"/>
      <c r="G69" s="930"/>
      <c r="H69" s="930"/>
      <c r="I69" s="930"/>
      <c r="J69" s="930"/>
      <c r="K69" s="76">
        <v>0</v>
      </c>
      <c r="L69" s="66">
        <f t="shared" si="1"/>
        <v>0</v>
      </c>
    </row>
    <row r="70" spans="1:12" ht="21.75" customHeight="1" x14ac:dyDescent="0.25">
      <c r="A70" s="72"/>
      <c r="B70" s="33" t="s">
        <v>125</v>
      </c>
      <c r="C70" s="930" t="s">
        <v>175</v>
      </c>
      <c r="D70" s="930"/>
      <c r="E70" s="930"/>
      <c r="F70" s="930"/>
      <c r="G70" s="930"/>
      <c r="H70" s="930"/>
      <c r="I70" s="930"/>
      <c r="J70" s="930"/>
      <c r="K70" s="77">
        <v>0</v>
      </c>
      <c r="L70" s="66">
        <f t="shared" si="1"/>
        <v>0</v>
      </c>
    </row>
    <row r="71" spans="1:12" ht="21.75" customHeight="1" x14ac:dyDescent="0.25">
      <c r="A71" s="72"/>
      <c r="B71" s="33" t="s">
        <v>130</v>
      </c>
      <c r="C71" s="930" t="s">
        <v>176</v>
      </c>
      <c r="D71" s="930"/>
      <c r="E71" s="930"/>
      <c r="F71" s="930"/>
      <c r="G71" s="930"/>
      <c r="H71" s="930"/>
      <c r="I71" s="930"/>
      <c r="J71" s="930"/>
      <c r="K71" s="76">
        <v>0</v>
      </c>
      <c r="L71" s="66">
        <f t="shared" si="1"/>
        <v>0</v>
      </c>
    </row>
    <row r="72" spans="1:12" ht="21.75" customHeight="1" x14ac:dyDescent="0.25">
      <c r="A72" s="72"/>
      <c r="B72" s="33" t="s">
        <v>133</v>
      </c>
      <c r="C72" s="930" t="s">
        <v>177</v>
      </c>
      <c r="D72" s="930"/>
      <c r="E72" s="930"/>
      <c r="F72" s="930"/>
      <c r="G72" s="930"/>
      <c r="H72" s="930"/>
      <c r="I72" s="930"/>
      <c r="J72" s="930"/>
      <c r="K72" s="77">
        <v>0</v>
      </c>
      <c r="L72" s="66">
        <f t="shared" si="1"/>
        <v>0</v>
      </c>
    </row>
    <row r="73" spans="1:12" ht="21.75" customHeight="1" x14ac:dyDescent="0.25">
      <c r="A73" s="72"/>
      <c r="B73" s="33" t="s">
        <v>135</v>
      </c>
      <c r="C73" s="930" t="s">
        <v>178</v>
      </c>
      <c r="D73" s="930"/>
      <c r="E73" s="930"/>
      <c r="F73" s="930"/>
      <c r="G73" s="930"/>
      <c r="H73" s="930"/>
      <c r="I73" s="930"/>
      <c r="J73" s="930"/>
      <c r="K73" s="77">
        <v>0</v>
      </c>
      <c r="L73" s="66">
        <f t="shared" si="1"/>
        <v>0</v>
      </c>
    </row>
    <row r="74" spans="1:12" ht="21.75" customHeight="1" x14ac:dyDescent="0.25">
      <c r="A74" s="72"/>
      <c r="B74" s="33" t="s">
        <v>153</v>
      </c>
      <c r="C74" s="930" t="s">
        <v>179</v>
      </c>
      <c r="D74" s="930"/>
      <c r="E74" s="930"/>
      <c r="F74" s="930"/>
      <c r="G74" s="930"/>
      <c r="H74" s="930"/>
      <c r="I74" s="930"/>
      <c r="J74" s="930"/>
      <c r="K74" s="77">
        <v>0</v>
      </c>
      <c r="L74" s="66">
        <f t="shared" si="1"/>
        <v>0</v>
      </c>
    </row>
    <row r="75" spans="1:12" ht="21.75" customHeight="1" x14ac:dyDescent="0.25">
      <c r="A75" s="72"/>
      <c r="B75" s="912" t="s">
        <v>162</v>
      </c>
      <c r="C75" s="912"/>
      <c r="D75" s="912"/>
      <c r="E75" s="912"/>
      <c r="F75" s="912"/>
      <c r="G75" s="912"/>
      <c r="H75" s="912"/>
      <c r="I75" s="912"/>
      <c r="J75" s="912"/>
      <c r="K75" s="78"/>
      <c r="L75" s="79">
        <f>L68+L69+L70+L71+L72+L73+L74</f>
        <v>0</v>
      </c>
    </row>
    <row r="76" spans="1:12" ht="21.75" customHeight="1" x14ac:dyDescent="0.25">
      <c r="A76" s="72"/>
      <c r="B76" s="915"/>
      <c r="C76" s="915"/>
      <c r="D76" s="915"/>
      <c r="E76" s="915"/>
      <c r="F76" s="915"/>
      <c r="G76" s="915"/>
      <c r="H76" s="915"/>
      <c r="I76" s="915"/>
      <c r="J76" s="915"/>
      <c r="K76" s="915"/>
      <c r="L76" s="915"/>
    </row>
    <row r="77" spans="1:12" ht="21.75" customHeight="1" x14ac:dyDescent="0.25">
      <c r="A77" s="72"/>
      <c r="B77" s="1010" t="s">
        <v>180</v>
      </c>
      <c r="C77" s="1010"/>
      <c r="D77" s="1010"/>
      <c r="E77" s="1010"/>
      <c r="F77" s="1010"/>
      <c r="G77" s="1010"/>
      <c r="H77" s="1010"/>
      <c r="I77" s="1010"/>
      <c r="J77" s="1010"/>
      <c r="K77" s="1010"/>
      <c r="L77" s="1010"/>
    </row>
    <row r="78" spans="1:12" ht="21.75" customHeight="1" x14ac:dyDescent="0.25">
      <c r="A78" s="72"/>
      <c r="B78" s="1010" t="s">
        <v>181</v>
      </c>
      <c r="C78" s="1010"/>
      <c r="D78" s="1010"/>
      <c r="E78" s="1010"/>
      <c r="F78" s="1010"/>
      <c r="G78" s="1010"/>
      <c r="H78" s="1010"/>
      <c r="I78" s="1010"/>
      <c r="J78" s="1010"/>
      <c r="K78" s="1010"/>
      <c r="L78" s="1010"/>
    </row>
    <row r="79" spans="1:12" ht="21.75" customHeight="1" x14ac:dyDescent="0.25">
      <c r="A79" s="72"/>
      <c r="B79" s="33" t="s">
        <v>120</v>
      </c>
      <c r="C79" s="928" t="s">
        <v>182</v>
      </c>
      <c r="D79" s="928"/>
      <c r="E79" s="928"/>
      <c r="F79" s="928"/>
      <c r="G79" s="928"/>
      <c r="H79" s="928"/>
      <c r="I79" s="928"/>
      <c r="J79" s="928"/>
      <c r="K79" s="77">
        <v>0</v>
      </c>
      <c r="L79" s="80">
        <f t="shared" ref="L79:L86" si="2">K79*$L$29</f>
        <v>0</v>
      </c>
    </row>
    <row r="80" spans="1:12" ht="21.75" customHeight="1" x14ac:dyDescent="0.25">
      <c r="A80" s="72"/>
      <c r="B80" s="33" t="s">
        <v>122</v>
      </c>
      <c r="C80" s="928" t="s">
        <v>183</v>
      </c>
      <c r="D80" s="928"/>
      <c r="E80" s="928"/>
      <c r="F80" s="2" t="s">
        <v>184</v>
      </c>
      <c r="G80" s="3">
        <f>OFICIAL!G76</f>
        <v>5</v>
      </c>
      <c r="H80" s="928" t="s">
        <v>185</v>
      </c>
      <c r="I80" s="928"/>
      <c r="J80" s="148">
        <f>OFICIAL!J76</f>
        <v>1</v>
      </c>
      <c r="K80" s="81">
        <v>0</v>
      </c>
      <c r="L80" s="80">
        <f t="shared" si="2"/>
        <v>0</v>
      </c>
    </row>
    <row r="81" spans="1:12" ht="21.75" customHeight="1" x14ac:dyDescent="0.25">
      <c r="A81" s="72"/>
      <c r="B81" s="33" t="s">
        <v>125</v>
      </c>
      <c r="C81" s="928" t="s">
        <v>186</v>
      </c>
      <c r="D81" s="928"/>
      <c r="E81" s="928"/>
      <c r="F81" s="2" t="s">
        <v>184</v>
      </c>
      <c r="G81" s="3">
        <f>OFICIAL!G77</f>
        <v>5</v>
      </c>
      <c r="H81" s="928" t="s">
        <v>185</v>
      </c>
      <c r="I81" s="928"/>
      <c r="J81" s="148">
        <f>OFICIAL!J77</f>
        <v>1</v>
      </c>
      <c r="K81" s="81">
        <v>0</v>
      </c>
      <c r="L81" s="80">
        <f t="shared" si="2"/>
        <v>0</v>
      </c>
    </row>
    <row r="82" spans="1:12" ht="21.75" customHeight="1" x14ac:dyDescent="0.25">
      <c r="A82" s="72"/>
      <c r="B82" s="33" t="s">
        <v>130</v>
      </c>
      <c r="C82" s="928" t="s">
        <v>187</v>
      </c>
      <c r="D82" s="928"/>
      <c r="E82" s="928"/>
      <c r="F82" s="2" t="s">
        <v>184</v>
      </c>
      <c r="G82" s="3">
        <f>OFICIAL!G78</f>
        <v>5</v>
      </c>
      <c r="H82" s="928" t="s">
        <v>185</v>
      </c>
      <c r="I82" s="928"/>
      <c r="J82" s="148">
        <f>OFICIAL!J78</f>
        <v>1.4999999999999999E-2</v>
      </c>
      <c r="K82" s="81">
        <v>0</v>
      </c>
      <c r="L82" s="80">
        <f t="shared" si="2"/>
        <v>0</v>
      </c>
    </row>
    <row r="83" spans="1:12" ht="21.75" customHeight="1" x14ac:dyDescent="0.25">
      <c r="A83" s="72"/>
      <c r="B83" s="33" t="s">
        <v>132</v>
      </c>
      <c r="C83" s="928" t="s">
        <v>188</v>
      </c>
      <c r="D83" s="928"/>
      <c r="E83" s="928"/>
      <c r="F83" s="2" t="s">
        <v>184</v>
      </c>
      <c r="G83" s="3">
        <f>OFICIAL!G79</f>
        <v>2</v>
      </c>
      <c r="H83" s="928" t="s">
        <v>185</v>
      </c>
      <c r="I83" s="928"/>
      <c r="J83" s="148">
        <f>OFICIAL!J79</f>
        <v>0.01</v>
      </c>
      <c r="K83" s="81">
        <v>0</v>
      </c>
      <c r="L83" s="80">
        <f t="shared" si="2"/>
        <v>0</v>
      </c>
    </row>
    <row r="84" spans="1:12" ht="21.75" customHeight="1" x14ac:dyDescent="0.25">
      <c r="A84" s="72"/>
      <c r="B84" s="33" t="s">
        <v>133</v>
      </c>
      <c r="C84" s="928" t="s">
        <v>189</v>
      </c>
      <c r="D84" s="928"/>
      <c r="E84" s="928"/>
      <c r="F84" s="2" t="s">
        <v>184</v>
      </c>
      <c r="G84" s="3">
        <f>OFICIAL!G80</f>
        <v>0</v>
      </c>
      <c r="H84" s="928" t="s">
        <v>185</v>
      </c>
      <c r="I84" s="928"/>
      <c r="J84" s="148">
        <f>OFICIAL!J80</f>
        <v>0.02</v>
      </c>
      <c r="K84" s="81">
        <v>0</v>
      </c>
      <c r="L84" s="80">
        <f t="shared" si="2"/>
        <v>0</v>
      </c>
    </row>
    <row r="85" spans="1:12" ht="21.75" customHeight="1" x14ac:dyDescent="0.25">
      <c r="A85" s="72"/>
      <c r="B85" s="33" t="s">
        <v>135</v>
      </c>
      <c r="C85" s="928" t="str">
        <f>OFICIAL!C81</f>
        <v>Outros (especificar)</v>
      </c>
      <c r="D85" s="928"/>
      <c r="E85" s="928"/>
      <c r="F85" s="2" t="s">
        <v>184</v>
      </c>
      <c r="G85" s="3">
        <f>OFICIAL!G81</f>
        <v>0</v>
      </c>
      <c r="H85" s="928" t="s">
        <v>185</v>
      </c>
      <c r="I85" s="928"/>
      <c r="J85" s="148">
        <f>OFICIAL!J81</f>
        <v>0</v>
      </c>
      <c r="K85" s="81">
        <v>0</v>
      </c>
      <c r="L85" s="80">
        <f t="shared" si="2"/>
        <v>0</v>
      </c>
    </row>
    <row r="86" spans="1:12" ht="21.75" customHeight="1" x14ac:dyDescent="0.25">
      <c r="A86" s="72"/>
      <c r="B86" s="33" t="s">
        <v>153</v>
      </c>
      <c r="C86" s="928" t="s">
        <v>190</v>
      </c>
      <c r="D86" s="928"/>
      <c r="E86" s="928"/>
      <c r="F86" s="928"/>
      <c r="G86" s="928"/>
      <c r="H86" s="928"/>
      <c r="I86" s="928"/>
      <c r="J86" s="928"/>
      <c r="K86" s="76">
        <v>0</v>
      </c>
      <c r="L86" s="80">
        <f t="shared" si="2"/>
        <v>0</v>
      </c>
    </row>
    <row r="87" spans="1:12" ht="21.75" customHeight="1" x14ac:dyDescent="0.25">
      <c r="A87" s="72"/>
      <c r="B87" s="912" t="s">
        <v>162</v>
      </c>
      <c r="C87" s="912"/>
      <c r="D87" s="912"/>
      <c r="E87" s="912"/>
      <c r="F87" s="912"/>
      <c r="G87" s="912"/>
      <c r="H87" s="912"/>
      <c r="I87" s="912"/>
      <c r="J87" s="912"/>
      <c r="K87" s="82">
        <f>SUM(K79:K86)</f>
        <v>0</v>
      </c>
      <c r="L87" s="83">
        <f>SUM(L79:L86)</f>
        <v>0</v>
      </c>
    </row>
    <row r="88" spans="1:12" ht="21.75" customHeight="1" x14ac:dyDescent="0.25">
      <c r="A88" s="72"/>
      <c r="B88" s="915"/>
      <c r="C88" s="915"/>
      <c r="D88" s="915"/>
      <c r="E88" s="915"/>
      <c r="F88" s="915"/>
      <c r="G88" s="915"/>
      <c r="H88" s="915"/>
      <c r="I88" s="915"/>
      <c r="J88" s="915"/>
      <c r="K88" s="915"/>
      <c r="L88" s="915"/>
    </row>
    <row r="89" spans="1:12" ht="21.75" customHeight="1" x14ac:dyDescent="0.25">
      <c r="A89" s="72"/>
      <c r="B89" s="1010" t="s">
        <v>191</v>
      </c>
      <c r="C89" s="1010"/>
      <c r="D89" s="1010"/>
      <c r="E89" s="1010"/>
      <c r="F89" s="1010"/>
      <c r="G89" s="1010"/>
      <c r="H89" s="1010"/>
      <c r="I89" s="1010"/>
      <c r="J89" s="1010"/>
      <c r="K89" s="1010"/>
      <c r="L89" s="1010"/>
    </row>
    <row r="90" spans="1:12" ht="21.75" customHeight="1" x14ac:dyDescent="0.25">
      <c r="A90" s="72"/>
      <c r="B90" s="33" t="s">
        <v>120</v>
      </c>
      <c r="C90" s="928" t="s">
        <v>192</v>
      </c>
      <c r="D90" s="928"/>
      <c r="E90" s="928"/>
      <c r="F90" s="928"/>
      <c r="G90" s="928"/>
      <c r="H90" s="928"/>
      <c r="I90" s="928"/>
      <c r="J90" s="928"/>
      <c r="K90" s="84"/>
      <c r="L90" s="83"/>
    </row>
    <row r="91" spans="1:12" ht="21.75" customHeight="1" x14ac:dyDescent="0.25">
      <c r="A91" s="72"/>
      <c r="B91" s="33" t="s">
        <v>122</v>
      </c>
      <c r="C91" s="928" t="s">
        <v>193</v>
      </c>
      <c r="D91" s="928"/>
      <c r="E91" s="928"/>
      <c r="F91" s="928"/>
      <c r="G91" s="928"/>
      <c r="H91" s="928"/>
      <c r="I91" s="928"/>
      <c r="J91" s="928"/>
      <c r="K91" s="84">
        <f>K90*K39</f>
        <v>0</v>
      </c>
      <c r="L91" s="83"/>
    </row>
    <row r="92" spans="1:12" ht="21.75" customHeight="1" x14ac:dyDescent="0.25">
      <c r="A92" s="72"/>
      <c r="B92" s="33"/>
      <c r="C92" s="928" t="s">
        <v>162</v>
      </c>
      <c r="D92" s="928"/>
      <c r="E92" s="928"/>
      <c r="F92" s="928"/>
      <c r="G92" s="928"/>
      <c r="H92" s="928"/>
      <c r="I92" s="928"/>
      <c r="J92" s="928"/>
      <c r="K92" s="2"/>
      <c r="L92" s="83">
        <f>SUM(L91+L90)</f>
        <v>0</v>
      </c>
    </row>
    <row r="93" spans="1:12" ht="21.75" customHeight="1" x14ac:dyDescent="0.25">
      <c r="A93" s="72"/>
      <c r="B93" s="915"/>
      <c r="C93" s="915"/>
      <c r="D93" s="915"/>
      <c r="E93" s="915"/>
      <c r="F93" s="915"/>
      <c r="G93" s="915"/>
      <c r="H93" s="915"/>
      <c r="I93" s="915"/>
      <c r="J93" s="915"/>
      <c r="K93" s="915"/>
      <c r="L93" s="915"/>
    </row>
    <row r="94" spans="1:12" ht="21.75" customHeight="1" x14ac:dyDescent="0.25">
      <c r="A94" s="72"/>
      <c r="B94" s="1010" t="s">
        <v>194</v>
      </c>
      <c r="C94" s="1010"/>
      <c r="D94" s="1010"/>
      <c r="E94" s="1010"/>
      <c r="F94" s="1010"/>
      <c r="G94" s="1010"/>
      <c r="H94" s="1010"/>
      <c r="I94" s="1010"/>
      <c r="J94" s="1010"/>
      <c r="K94" s="1010"/>
      <c r="L94" s="1010"/>
    </row>
    <row r="95" spans="1:12" ht="21.75" customHeight="1" x14ac:dyDescent="0.25">
      <c r="A95" s="72"/>
      <c r="B95" s="33" t="s">
        <v>195</v>
      </c>
      <c r="C95" s="931" t="s">
        <v>196</v>
      </c>
      <c r="D95" s="931"/>
      <c r="E95" s="931"/>
      <c r="F95" s="931"/>
      <c r="G95" s="931"/>
      <c r="H95" s="931"/>
      <c r="I95" s="931"/>
      <c r="J95" s="931"/>
      <c r="K95" s="2"/>
      <c r="L95" s="83">
        <f>L87</f>
        <v>0</v>
      </c>
    </row>
    <row r="96" spans="1:12" ht="21.75" customHeight="1" x14ac:dyDescent="0.25">
      <c r="A96" s="72"/>
      <c r="B96" s="33" t="s">
        <v>197</v>
      </c>
      <c r="C96" s="931" t="s">
        <v>198</v>
      </c>
      <c r="D96" s="931"/>
      <c r="E96" s="931"/>
      <c r="F96" s="931"/>
      <c r="G96" s="931"/>
      <c r="H96" s="931"/>
      <c r="I96" s="931"/>
      <c r="J96" s="931"/>
      <c r="K96" s="2"/>
      <c r="L96" s="83">
        <f>L92</f>
        <v>0</v>
      </c>
    </row>
    <row r="97" spans="1:12" ht="21.75" customHeight="1" x14ac:dyDescent="0.25">
      <c r="A97" s="72"/>
      <c r="B97" s="33"/>
      <c r="C97" s="928" t="s">
        <v>162</v>
      </c>
      <c r="D97" s="928"/>
      <c r="E97" s="928"/>
      <c r="F97" s="928"/>
      <c r="G97" s="928"/>
      <c r="H97" s="928"/>
      <c r="I97" s="928"/>
      <c r="J97" s="928"/>
      <c r="K97" s="2"/>
      <c r="L97" s="83">
        <f>L95+L96</f>
        <v>0</v>
      </c>
    </row>
    <row r="98" spans="1:12" ht="21.75" customHeight="1" x14ac:dyDescent="0.25">
      <c r="A98" s="72"/>
      <c r="B98" s="932"/>
      <c r="C98" s="932"/>
      <c r="D98" s="932"/>
      <c r="E98" s="932"/>
      <c r="F98" s="932"/>
      <c r="G98" s="932"/>
      <c r="H98" s="932"/>
      <c r="I98" s="932"/>
      <c r="J98" s="932"/>
      <c r="K98" s="932"/>
      <c r="L98" s="932"/>
    </row>
    <row r="99" spans="1:12" ht="21.75" customHeight="1" x14ac:dyDescent="0.25">
      <c r="A99" s="20"/>
      <c r="B99" s="933" t="s">
        <v>199</v>
      </c>
      <c r="C99" s="933"/>
      <c r="D99" s="933"/>
      <c r="E99" s="933"/>
      <c r="F99" s="933"/>
      <c r="G99" s="85"/>
      <c r="H99" s="85"/>
      <c r="I99" s="85"/>
      <c r="J99" s="85"/>
      <c r="K99" s="85"/>
      <c r="L99" s="86" t="s">
        <v>200</v>
      </c>
    </row>
    <row r="100" spans="1:12" ht="21.75" customHeight="1" x14ac:dyDescent="0.25">
      <c r="A100" s="20"/>
      <c r="B100" s="33" t="s">
        <v>120</v>
      </c>
      <c r="C100" s="1014" t="s">
        <v>201</v>
      </c>
      <c r="D100" s="1014"/>
      <c r="E100" s="1014"/>
      <c r="F100" s="1014"/>
      <c r="G100" s="1014"/>
      <c r="H100" s="1014"/>
      <c r="I100" s="1014"/>
      <c r="J100" s="1014"/>
      <c r="K100" s="1014"/>
      <c r="L100" s="34">
        <f>'DADOS INICIAIS'!M85</f>
        <v>45.27</v>
      </c>
    </row>
    <row r="101" spans="1:12" ht="21.75" customHeight="1" x14ac:dyDescent="0.25">
      <c r="A101" s="20"/>
      <c r="B101" s="33" t="s">
        <v>122</v>
      </c>
      <c r="C101" s="1015" t="s">
        <v>202</v>
      </c>
      <c r="D101" s="1015"/>
      <c r="E101" s="1015"/>
      <c r="F101" s="1015"/>
      <c r="G101" s="1015"/>
      <c r="H101" s="1015"/>
      <c r="I101" s="1015"/>
      <c r="J101" s="1015"/>
      <c r="K101" s="1015"/>
      <c r="L101" s="34">
        <v>0</v>
      </c>
    </row>
    <row r="102" spans="1:12" ht="21.75" customHeight="1" x14ac:dyDescent="0.25">
      <c r="A102" s="20"/>
      <c r="B102" s="912" t="s">
        <v>125</v>
      </c>
      <c r="C102" s="1016" t="s">
        <v>136</v>
      </c>
      <c r="D102" s="1016"/>
      <c r="E102" s="935">
        <f>OFICIAL!E98</f>
        <v>0</v>
      </c>
      <c r="F102" s="935"/>
      <c r="G102" s="935"/>
      <c r="H102" s="935"/>
      <c r="I102" s="935"/>
      <c r="J102" s="935"/>
      <c r="K102" s="935"/>
      <c r="L102" s="34">
        <f>OFICIAL!L98</f>
        <v>0</v>
      </c>
    </row>
    <row r="103" spans="1:12" ht="21.75" customHeight="1" x14ac:dyDescent="0.25">
      <c r="A103" s="20"/>
      <c r="B103" s="912"/>
      <c r="C103" s="1016"/>
      <c r="D103" s="1016"/>
      <c r="E103" s="936" t="str">
        <f>OFICIAL!E99</f>
        <v>--</v>
      </c>
      <c r="F103" s="936"/>
      <c r="G103" s="936"/>
      <c r="H103" s="936"/>
      <c r="I103" s="936"/>
      <c r="J103" s="936"/>
      <c r="K103" s="936"/>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45.27</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37" t="s">
        <v>205</v>
      </c>
      <c r="C106" s="937"/>
      <c r="D106" s="937"/>
      <c r="E106" s="937"/>
      <c r="F106" s="937"/>
      <c r="G106" s="937"/>
      <c r="H106" s="937"/>
      <c r="I106" s="937"/>
      <c r="J106" s="937"/>
      <c r="K106" s="937"/>
      <c r="L106" s="937"/>
    </row>
    <row r="107" spans="1:12" ht="21.75" customHeight="1" x14ac:dyDescent="0.25">
      <c r="A107" s="72"/>
      <c r="B107" s="938" t="s">
        <v>206</v>
      </c>
      <c r="C107" s="938"/>
      <c r="D107" s="938"/>
      <c r="E107" s="938"/>
      <c r="F107" s="938"/>
      <c r="G107" s="938"/>
      <c r="H107" s="938"/>
      <c r="I107" s="938"/>
      <c r="J107" s="938"/>
      <c r="K107" s="938"/>
      <c r="L107" s="86" t="s">
        <v>200</v>
      </c>
    </row>
    <row r="108" spans="1:12" ht="21.75" customHeight="1" x14ac:dyDescent="0.25">
      <c r="A108" s="72"/>
      <c r="B108" s="89" t="s">
        <v>120</v>
      </c>
      <c r="C108" s="939" t="s">
        <v>119</v>
      </c>
      <c r="D108" s="939"/>
      <c r="E108" s="939"/>
      <c r="F108" s="939"/>
      <c r="G108" s="939"/>
      <c r="H108" s="939"/>
      <c r="I108" s="939"/>
      <c r="J108" s="939"/>
      <c r="K108" s="939"/>
      <c r="L108" s="34">
        <f>L29</f>
        <v>36.479999999999997</v>
      </c>
    </row>
    <row r="109" spans="1:12" ht="21.75" customHeight="1" x14ac:dyDescent="0.25">
      <c r="A109" s="72"/>
      <c r="B109" s="89" t="s">
        <v>122</v>
      </c>
      <c r="C109" s="939" t="s">
        <v>207</v>
      </c>
      <c r="D109" s="939"/>
      <c r="E109" s="939"/>
      <c r="F109" s="939"/>
      <c r="G109" s="939"/>
      <c r="H109" s="939"/>
      <c r="I109" s="939"/>
      <c r="J109" s="939"/>
      <c r="K109" s="939"/>
      <c r="L109" s="34">
        <f>L65</f>
        <v>23.620157952</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45.27</v>
      </c>
    </row>
    <row r="113" spans="1:13" ht="21.75" customHeight="1" x14ac:dyDescent="0.25">
      <c r="A113" s="20"/>
      <c r="B113" s="938" t="s">
        <v>209</v>
      </c>
      <c r="C113" s="938"/>
      <c r="D113" s="938"/>
      <c r="E113" s="938"/>
      <c r="F113" s="938"/>
      <c r="G113" s="938"/>
      <c r="H113" s="938"/>
      <c r="I113" s="938"/>
      <c r="J113" s="938"/>
      <c r="K113" s="938"/>
      <c r="L113" s="88">
        <f>SUM(L108:L112)</f>
        <v>105.370157952</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6.3222094771199995</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7.5839117484372478</v>
      </c>
    </row>
    <row r="118" spans="1:13" ht="21.75" customHeight="1" x14ac:dyDescent="0.25">
      <c r="A118" s="20"/>
      <c r="B118" s="941" t="s">
        <v>125</v>
      </c>
      <c r="C118" s="22" t="s">
        <v>213</v>
      </c>
      <c r="D118" s="22"/>
      <c r="E118" s="22"/>
      <c r="F118" s="22"/>
      <c r="G118" s="22"/>
      <c r="H118" s="22"/>
      <c r="I118" s="22"/>
      <c r="J118" s="92" t="s">
        <v>60</v>
      </c>
      <c r="K118" s="942">
        <f>SUM(J119:J121)</f>
        <v>9.6500000000000002E-2</v>
      </c>
      <c r="L118" s="943">
        <f>K118*L125</f>
        <v>12.739525114149721</v>
      </c>
    </row>
    <row r="119" spans="1:13" ht="21.75" customHeight="1" x14ac:dyDescent="0.25">
      <c r="A119" s="20"/>
      <c r="B119" s="941"/>
      <c r="C119" s="37"/>
      <c r="D119" s="944" t="s">
        <v>214</v>
      </c>
      <c r="E119" s="944"/>
      <c r="F119" s="944"/>
      <c r="G119" s="93" t="s">
        <v>215</v>
      </c>
      <c r="H119" s="94"/>
      <c r="I119" s="94"/>
      <c r="J119" s="95">
        <f>'DADOS INICIAIS'!H96</f>
        <v>1.6500000000000001E-2</v>
      </c>
      <c r="K119" s="942"/>
      <c r="L119" s="943"/>
    </row>
    <row r="120" spans="1:13" ht="21.75" customHeight="1" x14ac:dyDescent="0.25">
      <c r="A120" s="20"/>
      <c r="B120" s="941"/>
      <c r="C120" s="20"/>
      <c r="D120" s="20"/>
      <c r="E120" s="20"/>
      <c r="F120" s="20"/>
      <c r="G120" s="93" t="s">
        <v>216</v>
      </c>
      <c r="H120" s="94"/>
      <c r="I120" s="94"/>
      <c r="J120" s="95">
        <f>'DADOS INICIAIS'!H97</f>
        <v>0.03</v>
      </c>
      <c r="K120" s="942"/>
      <c r="L120" s="943"/>
    </row>
    <row r="121" spans="1:13" ht="21.75" customHeight="1" x14ac:dyDescent="0.25">
      <c r="A121" s="20"/>
      <c r="B121" s="941"/>
      <c r="C121" s="20"/>
      <c r="D121" s="944" t="s">
        <v>217</v>
      </c>
      <c r="E121" s="944"/>
      <c r="F121" s="944"/>
      <c r="G121" s="93" t="s">
        <v>218</v>
      </c>
      <c r="H121" s="94"/>
      <c r="I121" s="94"/>
      <c r="J121" s="95">
        <f>'DADOS INICIAIS'!H98</f>
        <v>0.05</v>
      </c>
      <c r="K121" s="942"/>
      <c r="L121" s="943"/>
      <c r="M121" s="96"/>
    </row>
    <row r="122" spans="1:13" s="73" customFormat="1" ht="21.75" customHeight="1" x14ac:dyDescent="0.25">
      <c r="A122" s="72"/>
      <c r="B122" s="21" t="s">
        <v>219</v>
      </c>
      <c r="C122" s="24"/>
      <c r="D122" s="24"/>
      <c r="E122" s="24"/>
      <c r="F122" s="24"/>
      <c r="G122" s="24"/>
      <c r="H122" s="24"/>
      <c r="I122" s="24"/>
      <c r="J122" s="97"/>
      <c r="K122" s="97"/>
      <c r="L122" s="88">
        <f>SUM(L116:L118)</f>
        <v>26.645646339706968</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45" t="s">
        <v>221</v>
      </c>
      <c r="C125" s="945"/>
      <c r="D125" s="945"/>
      <c r="E125" s="945"/>
      <c r="F125" s="945"/>
      <c r="G125" s="945"/>
      <c r="H125" s="945"/>
      <c r="I125" s="99"/>
      <c r="J125" s="99"/>
      <c r="K125" s="99"/>
      <c r="L125" s="100">
        <f>(L113+L116+L117)/(1-K118)</f>
        <v>132.01580429170696</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46" t="s">
        <v>222</v>
      </c>
      <c r="C127" s="946"/>
      <c r="D127" s="946"/>
      <c r="E127" s="946"/>
      <c r="F127" s="946"/>
      <c r="G127" s="946"/>
      <c r="H127" s="946"/>
      <c r="I127" s="946"/>
      <c r="J127" s="946"/>
      <c r="K127" s="946"/>
      <c r="L127" s="946"/>
    </row>
    <row r="128" spans="1:13" ht="57" customHeight="1" x14ac:dyDescent="0.25">
      <c r="A128" s="20"/>
      <c r="B128" s="947" t="s">
        <v>223</v>
      </c>
      <c r="C128" s="947"/>
      <c r="D128" s="947"/>
      <c r="E128" s="948" t="s">
        <v>224</v>
      </c>
      <c r="F128" s="948"/>
      <c r="G128" s="948" t="s">
        <v>225</v>
      </c>
      <c r="H128" s="948"/>
      <c r="I128" s="948" t="s">
        <v>226</v>
      </c>
      <c r="J128" s="948"/>
      <c r="K128" s="102" t="s">
        <v>227</v>
      </c>
      <c r="L128" s="103" t="s">
        <v>228</v>
      </c>
    </row>
    <row r="129" spans="1:12" ht="21.75" customHeight="1" x14ac:dyDescent="0.25">
      <c r="A129" s="20"/>
      <c r="B129" s="950" t="str">
        <f>'DADOS INICIAIS'!M17</f>
        <v>Pintor</v>
      </c>
      <c r="C129" s="950"/>
      <c r="D129" s="950"/>
      <c r="E129" s="951">
        <f>L125</f>
        <v>132.01580429170696</v>
      </c>
      <c r="F129" s="951"/>
      <c r="G129" s="952">
        <v>1</v>
      </c>
      <c r="H129" s="952"/>
      <c r="I129" s="951">
        <f>G129*E129</f>
        <v>132.01580429170696</v>
      </c>
      <c r="J129" s="951"/>
      <c r="K129" s="104">
        <f>L12</f>
        <v>1</v>
      </c>
      <c r="L129" s="105">
        <f>ROUND(K129*I129,2)</f>
        <v>132.02000000000001</v>
      </c>
    </row>
    <row r="130" spans="1:12" ht="21.75" customHeight="1" x14ac:dyDescent="0.25">
      <c r="A130" s="20"/>
      <c r="B130" s="949" t="s">
        <v>305</v>
      </c>
      <c r="C130" s="949"/>
      <c r="D130" s="949"/>
      <c r="E130" s="949"/>
      <c r="F130" s="949"/>
      <c r="G130" s="949"/>
      <c r="H130" s="949"/>
      <c r="I130" s="949"/>
      <c r="J130" s="949"/>
      <c r="K130" s="949"/>
      <c r="L130" s="106">
        <f>L129</f>
        <v>132.02000000000001</v>
      </c>
    </row>
    <row r="131" spans="1:12" ht="21.75" customHeight="1" x14ac:dyDescent="0.25">
      <c r="A131" s="20"/>
      <c r="B131" s="949" t="s">
        <v>303</v>
      </c>
      <c r="C131" s="949"/>
      <c r="D131" s="949"/>
      <c r="E131" s="949"/>
      <c r="F131" s="949"/>
      <c r="G131" s="949"/>
      <c r="H131" s="949"/>
      <c r="I131" s="949"/>
      <c r="J131" s="949"/>
      <c r="K131" s="949"/>
      <c r="L131" s="106">
        <f>L130/220</f>
        <v>0.60009090909090912</v>
      </c>
    </row>
    <row r="132" spans="1:12" ht="21.75" customHeight="1" x14ac:dyDescent="0.25">
      <c r="A132" s="20"/>
      <c r="B132" s="1017"/>
      <c r="C132" s="1017"/>
      <c r="D132" s="1017"/>
      <c r="E132" s="1017"/>
      <c r="F132" s="1017"/>
      <c r="G132" s="1017"/>
      <c r="H132" s="1017"/>
      <c r="I132" s="1017"/>
      <c r="J132" s="1017"/>
      <c r="K132" s="1017"/>
      <c r="L132" s="165"/>
    </row>
    <row r="133" spans="1:12" ht="21.75" customHeight="1" x14ac:dyDescent="0.25">
      <c r="A133" s="20"/>
      <c r="B133" s="1017"/>
      <c r="C133" s="1017"/>
      <c r="D133" s="1017"/>
      <c r="E133" s="1017"/>
      <c r="F133" s="1017"/>
      <c r="G133" s="1017"/>
      <c r="H133" s="1017"/>
      <c r="I133" s="1017"/>
      <c r="J133" s="1017"/>
      <c r="K133" s="1017"/>
      <c r="L133" s="165"/>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 ref="B106:L106"/>
    <mergeCell ref="B107:K107"/>
    <mergeCell ref="C108:K108"/>
    <mergeCell ref="C109:K109"/>
    <mergeCell ref="B113:K113"/>
    <mergeCell ref="B114:L114"/>
    <mergeCell ref="B115:K115"/>
    <mergeCell ref="B118:B121"/>
    <mergeCell ref="K118:K121"/>
    <mergeCell ref="L118:L121"/>
    <mergeCell ref="D119:F119"/>
    <mergeCell ref="D121:F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13"/>
  </sheetPr>
  <dimension ref="A1:N105"/>
  <sheetViews>
    <sheetView showGridLines="0" workbookViewId="0">
      <selection activeCell="M118" sqref="M118"/>
    </sheetView>
  </sheetViews>
  <sheetFormatPr defaultColWidth="9.6640625" defaultRowHeight="15.6" x14ac:dyDescent="0.25"/>
  <cols>
    <col min="1" max="1" width="4.44140625" style="19" customWidth="1"/>
    <col min="2" max="2" width="15" style="19" customWidth="1"/>
    <col min="3" max="4" width="9.6640625" style="19" customWidth="1"/>
    <col min="5" max="5" width="11.88671875" style="19" customWidth="1"/>
    <col min="6" max="6" width="13.88671875" style="19" customWidth="1"/>
    <col min="7" max="7" width="13.6640625" style="19" customWidth="1"/>
    <col min="8" max="8" width="18.77734375" style="19" customWidth="1"/>
    <col min="9" max="9" width="9.6640625" style="19" customWidth="1"/>
    <col min="10" max="10" width="11.44140625" style="19" customWidth="1"/>
    <col min="11" max="16384" width="9.6640625" style="19"/>
  </cols>
  <sheetData>
    <row r="1" spans="1:14" ht="60" customHeight="1" thickBot="1" x14ac:dyDescent="0.3">
      <c r="A1" s="1027" t="s">
        <v>306</v>
      </c>
      <c r="B1" s="1028"/>
      <c r="C1" s="1028"/>
      <c r="D1" s="1028"/>
      <c r="E1" s="1028"/>
      <c r="F1" s="1028"/>
      <c r="G1" s="1028"/>
      <c r="H1" s="1029"/>
      <c r="I1" s="166"/>
      <c r="J1" s="20"/>
      <c r="K1" s="20"/>
      <c r="L1" s="20"/>
      <c r="M1" s="20"/>
      <c r="N1" s="20"/>
    </row>
    <row r="2" spans="1:14" ht="27" customHeight="1" thickBot="1" x14ac:dyDescent="0.3">
      <c r="A2" s="1030" t="s">
        <v>307</v>
      </c>
      <c r="B2" s="1031"/>
      <c r="C2" s="1031"/>
      <c r="D2" s="1031"/>
      <c r="E2" s="1031"/>
      <c r="F2" s="1031"/>
      <c r="G2" s="1031"/>
      <c r="H2" s="1032"/>
      <c r="I2" s="20"/>
      <c r="J2" s="20"/>
      <c r="K2" s="20"/>
      <c r="L2" s="20"/>
      <c r="M2" s="20"/>
      <c r="N2" s="20"/>
    </row>
    <row r="3" spans="1:14" ht="27" customHeight="1" x14ac:dyDescent="0.25">
      <c r="A3" s="1033" t="s">
        <v>308</v>
      </c>
      <c r="B3" s="1034"/>
      <c r="C3" s="1037" t="s">
        <v>309</v>
      </c>
      <c r="D3" s="1037"/>
      <c r="E3" s="1037" t="s">
        <v>310</v>
      </c>
      <c r="F3" s="1037" t="s">
        <v>311</v>
      </c>
      <c r="G3" s="1037" t="s">
        <v>312</v>
      </c>
      <c r="H3" s="1039" t="s">
        <v>313</v>
      </c>
      <c r="I3" s="20"/>
      <c r="J3" s="20"/>
      <c r="K3" s="20"/>
      <c r="L3" s="20"/>
      <c r="M3" s="20"/>
      <c r="N3" s="20"/>
    </row>
    <row r="4" spans="1:14" ht="27" customHeight="1" x14ac:dyDescent="0.25">
      <c r="A4" s="1035"/>
      <c r="B4" s="1036"/>
      <c r="C4" s="1038"/>
      <c r="D4" s="1038"/>
      <c r="E4" s="1038"/>
      <c r="F4" s="1038"/>
      <c r="G4" s="1038"/>
      <c r="H4" s="1040"/>
      <c r="I4" s="20"/>
      <c r="J4" s="20"/>
      <c r="K4" s="20"/>
      <c r="L4" s="20"/>
      <c r="M4" s="20"/>
      <c r="N4" s="20"/>
    </row>
    <row r="5" spans="1:14" ht="24" customHeight="1" x14ac:dyDescent="0.25">
      <c r="A5" s="507" t="s">
        <v>161</v>
      </c>
      <c r="B5" s="508" t="str">
        <f>'DADOS INICIAIS'!H13</f>
        <v>Oficial Manutenção</v>
      </c>
      <c r="C5" s="1018">
        <f>OFICIAL!E125</f>
        <v>8895.2809466408871</v>
      </c>
      <c r="D5" s="1018"/>
      <c r="E5" s="509">
        <v>1</v>
      </c>
      <c r="F5" s="510">
        <f>C5*E5</f>
        <v>8895.2809466408871</v>
      </c>
      <c r="G5" s="509">
        <v>1</v>
      </c>
      <c r="H5" s="524">
        <f>F5*G5</f>
        <v>8895.2809466408871</v>
      </c>
      <c r="I5" s="167"/>
      <c r="J5" s="167"/>
      <c r="K5" s="20"/>
      <c r="L5" s="20"/>
      <c r="M5" s="20"/>
      <c r="N5" s="20"/>
    </row>
    <row r="6" spans="1:14" ht="23.4" thickBot="1" x14ac:dyDescent="0.3">
      <c r="A6" s="511" t="s">
        <v>314</v>
      </c>
      <c r="B6" s="512" t="str">
        <f>'DADOS INICIAIS'!I13</f>
        <v>Auxiliar Manutenção</v>
      </c>
      <c r="C6" s="1019">
        <f>AUXILIAR!E124</f>
        <v>7597.7825011985979</v>
      </c>
      <c r="D6" s="1019"/>
      <c r="E6" s="513">
        <v>1</v>
      </c>
      <c r="F6" s="514">
        <f>C6*E6</f>
        <v>7597.7825011985979</v>
      </c>
      <c r="G6" s="513">
        <v>1</v>
      </c>
      <c r="H6" s="525">
        <f>F6*G6</f>
        <v>7597.7825011985979</v>
      </c>
      <c r="I6" s="168"/>
      <c r="J6" s="168"/>
      <c r="K6" s="20"/>
      <c r="L6" s="20"/>
      <c r="M6" s="20"/>
      <c r="N6" s="20"/>
    </row>
    <row r="7" spans="1:14" ht="33.75" customHeight="1" thickBot="1" x14ac:dyDescent="0.3">
      <c r="A7" s="1020" t="s">
        <v>315</v>
      </c>
      <c r="B7" s="1021"/>
      <c r="C7" s="1021"/>
      <c r="D7" s="1021"/>
      <c r="E7" s="1021"/>
      <c r="F7" s="1021"/>
      <c r="G7" s="1021"/>
      <c r="H7" s="526">
        <f>SUM(H5:H6)</f>
        <v>16493.063447839486</v>
      </c>
      <c r="I7" s="168"/>
      <c r="J7" s="168"/>
      <c r="K7" s="20"/>
      <c r="L7" s="20"/>
      <c r="M7" s="20"/>
      <c r="N7" s="20"/>
    </row>
    <row r="8" spans="1:14" ht="30" customHeight="1" thickBot="1" x14ac:dyDescent="0.3">
      <c r="A8" s="169"/>
      <c r="B8" s="169"/>
      <c r="C8" s="169"/>
      <c r="D8" s="169"/>
      <c r="E8" s="169"/>
      <c r="F8" s="169"/>
      <c r="G8" s="169"/>
      <c r="H8" s="170"/>
      <c r="I8" s="168"/>
      <c r="J8" s="168"/>
      <c r="K8" s="20"/>
      <c r="L8" s="20"/>
      <c r="M8" s="20"/>
      <c r="N8" s="20"/>
    </row>
    <row r="9" spans="1:14" ht="27" customHeight="1" thickBot="1" x14ac:dyDescent="0.3">
      <c r="A9" s="1022" t="s">
        <v>475</v>
      </c>
      <c r="B9" s="1023"/>
      <c r="C9" s="1023"/>
      <c r="D9" s="1023"/>
      <c r="E9" s="1023"/>
      <c r="F9" s="1023"/>
      <c r="G9" s="1023"/>
      <c r="H9" s="1024"/>
      <c r="I9" s="171"/>
      <c r="J9" s="171"/>
      <c r="K9" s="20"/>
      <c r="L9" s="20"/>
      <c r="M9" s="20"/>
      <c r="N9" s="20"/>
    </row>
    <row r="10" spans="1:14" ht="33" customHeight="1" x14ac:dyDescent="0.25">
      <c r="A10" s="1025"/>
      <c r="B10" s="1026"/>
      <c r="C10" s="1026"/>
      <c r="D10" s="1026"/>
      <c r="E10" s="1026"/>
      <c r="F10" s="515" t="s">
        <v>316</v>
      </c>
      <c r="G10" s="515" t="s">
        <v>450</v>
      </c>
      <c r="H10" s="516" t="s">
        <v>317</v>
      </c>
      <c r="I10" s="167"/>
      <c r="J10" s="167"/>
      <c r="K10" s="20"/>
      <c r="L10" s="20"/>
      <c r="M10" s="20"/>
      <c r="N10" s="20"/>
    </row>
    <row r="11" spans="1:14" ht="33.75" customHeight="1" x14ac:dyDescent="0.25">
      <c r="A11" s="1041" t="s">
        <v>477</v>
      </c>
      <c r="B11" s="1042"/>
      <c r="C11" s="1042"/>
      <c r="D11" s="1042"/>
      <c r="E11" s="1042"/>
      <c r="F11" s="509">
        <f>'DADOS INICIAIS'!E120</f>
        <v>230</v>
      </c>
      <c r="G11" s="517">
        <f>'DADOS INICIAIS'!E139</f>
        <v>2.4515000000000002</v>
      </c>
      <c r="H11" s="527">
        <f>F11*G11</f>
        <v>563.84500000000003</v>
      </c>
      <c r="I11" s="172"/>
      <c r="J11" s="172"/>
      <c r="K11" s="20"/>
      <c r="L11" s="20"/>
      <c r="M11" s="20"/>
      <c r="N11" s="20"/>
    </row>
    <row r="12" spans="1:14" ht="37.5" customHeight="1" thickBot="1" x14ac:dyDescent="0.3">
      <c r="A12" s="1043" t="s">
        <v>318</v>
      </c>
      <c r="B12" s="1044"/>
      <c r="C12" s="1044"/>
      <c r="D12" s="1044"/>
      <c r="E12" s="1044"/>
      <c r="F12" s="518">
        <f>F11*0.5</f>
        <v>115</v>
      </c>
      <c r="G12" s="519">
        <f>'DADOS INICIAIS'!E139</f>
        <v>2.4515000000000002</v>
      </c>
      <c r="H12" s="528">
        <f>F12*G12</f>
        <v>281.92250000000001</v>
      </c>
      <c r="I12" s="173"/>
      <c r="J12" s="173"/>
      <c r="K12" s="20"/>
      <c r="L12" s="20"/>
      <c r="M12" s="20"/>
      <c r="N12" s="20"/>
    </row>
    <row r="13" spans="1:14" ht="30" customHeight="1" thickBot="1" x14ac:dyDescent="0.3">
      <c r="A13" s="180"/>
      <c r="B13" s="180"/>
      <c r="C13" s="180"/>
      <c r="D13" s="180"/>
      <c r="E13" s="180"/>
      <c r="F13" s="181"/>
      <c r="G13" s="182"/>
      <c r="H13" s="183"/>
      <c r="I13" s="173"/>
      <c r="J13" s="173"/>
      <c r="K13" s="20"/>
      <c r="L13" s="20"/>
      <c r="M13" s="20"/>
      <c r="N13" s="20"/>
    </row>
    <row r="14" spans="1:14" ht="24" customHeight="1" thickBot="1" x14ac:dyDescent="0.3">
      <c r="A14" s="1046" t="s">
        <v>445</v>
      </c>
      <c r="B14" s="1047"/>
      <c r="C14" s="1047"/>
      <c r="D14" s="1047"/>
      <c r="E14" s="1047"/>
      <c r="F14" s="1047"/>
      <c r="G14" s="1047"/>
      <c r="H14" s="1048"/>
      <c r="I14" s="173"/>
      <c r="J14" s="173"/>
      <c r="K14" s="20"/>
      <c r="L14" s="20"/>
      <c r="M14" s="20"/>
      <c r="N14" s="20"/>
    </row>
    <row r="15" spans="1:14" ht="24" customHeight="1" thickBot="1" x14ac:dyDescent="0.3">
      <c r="A15" s="1049" t="s">
        <v>444</v>
      </c>
      <c r="B15" s="1050"/>
      <c r="C15" s="1050"/>
      <c r="D15" s="1050"/>
      <c r="E15" s="1050"/>
      <c r="F15" s="1050"/>
      <c r="G15" s="1050"/>
      <c r="H15" s="529">
        <f>'DADOS INICIAIS'!H143</f>
        <v>189.31833333333336</v>
      </c>
      <c r="I15" s="173"/>
      <c r="J15" s="173"/>
      <c r="K15" s="20"/>
      <c r="L15" s="20"/>
      <c r="M15" s="20"/>
      <c r="N15" s="20"/>
    </row>
    <row r="16" spans="1:14" ht="24" customHeight="1" thickBot="1" x14ac:dyDescent="0.3">
      <c r="A16" s="1020" t="s">
        <v>364</v>
      </c>
      <c r="B16" s="1021"/>
      <c r="C16" s="1021"/>
      <c r="D16" s="1021"/>
      <c r="E16" s="1021"/>
      <c r="F16" s="1021"/>
      <c r="G16" s="1021"/>
      <c r="H16" s="526">
        <f>H15</f>
        <v>189.31833333333336</v>
      </c>
      <c r="I16" s="173"/>
      <c r="J16" s="173"/>
      <c r="K16" s="20"/>
      <c r="L16" s="20"/>
      <c r="M16" s="20"/>
      <c r="N16" s="20"/>
    </row>
    <row r="17" spans="1:14" ht="30" customHeight="1" thickBot="1" x14ac:dyDescent="0.3">
      <c r="A17" s="1045"/>
      <c r="B17" s="1045"/>
      <c r="C17" s="1045"/>
      <c r="D17" s="1045"/>
      <c r="E17" s="1045"/>
      <c r="F17" s="1045"/>
      <c r="G17" s="1045"/>
      <c r="H17" s="1045"/>
      <c r="I17" s="174"/>
      <c r="J17" s="174"/>
      <c r="K17" s="20"/>
      <c r="L17" s="20"/>
      <c r="M17" s="20"/>
      <c r="N17" s="20"/>
    </row>
    <row r="18" spans="1:14" ht="27" customHeight="1" thickBot="1" x14ac:dyDescent="0.3">
      <c r="A18" s="1030" t="s">
        <v>319</v>
      </c>
      <c r="B18" s="1031"/>
      <c r="C18" s="1031"/>
      <c r="D18" s="1031"/>
      <c r="E18" s="1031"/>
      <c r="F18" s="1031"/>
      <c r="G18" s="1031"/>
      <c r="H18" s="1032"/>
      <c r="I18" s="175"/>
      <c r="J18" s="175"/>
      <c r="K18" s="20"/>
      <c r="L18" s="20"/>
      <c r="M18" s="20"/>
      <c r="N18" s="20"/>
    </row>
    <row r="19" spans="1:14" ht="27" customHeight="1" x14ac:dyDescent="0.25">
      <c r="A19" s="1033" t="s">
        <v>320</v>
      </c>
      <c r="B19" s="1034"/>
      <c r="C19" s="1037" t="s">
        <v>321</v>
      </c>
      <c r="D19" s="1037"/>
      <c r="E19" s="1037" t="s">
        <v>322</v>
      </c>
      <c r="F19" s="1037" t="s">
        <v>323</v>
      </c>
      <c r="G19" s="1037" t="s">
        <v>324</v>
      </c>
      <c r="H19" s="1039" t="s">
        <v>325</v>
      </c>
      <c r="I19" s="167"/>
      <c r="J19" s="167"/>
      <c r="K19" s="20"/>
      <c r="L19" s="20"/>
      <c r="M19" s="20"/>
      <c r="N19" s="20"/>
    </row>
    <row r="20" spans="1:14" ht="27" customHeight="1" x14ac:dyDescent="0.25">
      <c r="A20" s="1035"/>
      <c r="B20" s="1036"/>
      <c r="C20" s="1038"/>
      <c r="D20" s="1038"/>
      <c r="E20" s="1038"/>
      <c r="F20" s="1038"/>
      <c r="G20" s="1038"/>
      <c r="H20" s="1040"/>
      <c r="I20" s="20"/>
      <c r="J20" s="20"/>
      <c r="K20" s="20"/>
      <c r="L20" s="20"/>
      <c r="M20" s="20"/>
      <c r="N20" s="20"/>
    </row>
    <row r="21" spans="1:14" ht="36" customHeight="1" x14ac:dyDescent="0.25">
      <c r="A21" s="507" t="s">
        <v>161</v>
      </c>
      <c r="B21" s="520" t="str">
        <f>'DADOS INICIAIS'!J13</f>
        <v>Eng. Civil</v>
      </c>
      <c r="C21" s="1018">
        <f>'DADOS INICIAIS'!J19</f>
        <v>113.41</v>
      </c>
      <c r="D21" s="1018"/>
      <c r="E21" s="520">
        <v>8</v>
      </c>
      <c r="F21" s="521">
        <f>C21*E21</f>
        <v>907.28</v>
      </c>
      <c r="G21" s="520">
        <v>1</v>
      </c>
      <c r="H21" s="530">
        <f>F21*G21</f>
        <v>907.28</v>
      </c>
      <c r="I21" s="167"/>
      <c r="J21" s="167"/>
      <c r="K21" s="20"/>
      <c r="L21" s="20"/>
      <c r="M21" s="20"/>
      <c r="N21" s="20"/>
    </row>
    <row r="22" spans="1:14" ht="36" customHeight="1" x14ac:dyDescent="0.25">
      <c r="A22" s="507" t="s">
        <v>314</v>
      </c>
      <c r="B22" s="520" t="str">
        <f>'DADOS INICIAIS'!K13</f>
        <v>Eng. Eletricista</v>
      </c>
      <c r="C22" s="1018">
        <f>'DADOS INICIAIS'!K19</f>
        <v>113.78</v>
      </c>
      <c r="D22" s="1018"/>
      <c r="E22" s="520">
        <v>12</v>
      </c>
      <c r="F22" s="521">
        <f>C22*E22</f>
        <v>1365.3600000000001</v>
      </c>
      <c r="G22" s="520">
        <v>1</v>
      </c>
      <c r="H22" s="530">
        <f>F22*G22</f>
        <v>1365.3600000000001</v>
      </c>
      <c r="I22" s="167"/>
      <c r="J22" s="167"/>
      <c r="K22" s="20"/>
      <c r="L22" s="20"/>
      <c r="M22" s="20"/>
      <c r="N22" s="20"/>
    </row>
    <row r="23" spans="1:14" ht="36" customHeight="1" x14ac:dyDescent="0.25">
      <c r="A23" s="507" t="s">
        <v>326</v>
      </c>
      <c r="B23" s="520" t="str">
        <f>'DADOS INICIAIS'!L13</f>
        <v>Pedreiro</v>
      </c>
      <c r="C23" s="1018">
        <f>'DADOS INICIAIS'!L19</f>
        <v>31.75</v>
      </c>
      <c r="D23" s="1018"/>
      <c r="E23" s="520">
        <v>40</v>
      </c>
      <c r="F23" s="521">
        <f>C23*E23</f>
        <v>1270</v>
      </c>
      <c r="G23" s="520">
        <v>1</v>
      </c>
      <c r="H23" s="530">
        <f>F23*G23</f>
        <v>1270</v>
      </c>
      <c r="I23" s="167"/>
      <c r="J23" s="167"/>
      <c r="K23" s="20"/>
      <c r="L23" s="20"/>
      <c r="M23" s="20"/>
      <c r="N23" s="20"/>
    </row>
    <row r="24" spans="1:14" ht="40.5" customHeight="1" thickBot="1" x14ac:dyDescent="0.3">
      <c r="A24" s="511" t="s">
        <v>327</v>
      </c>
      <c r="B24" s="522" t="str">
        <f>'DADOS INICIAIS'!M13</f>
        <v>Pintor</v>
      </c>
      <c r="C24" s="1019">
        <f>'DADOS INICIAIS'!M19</f>
        <v>36.479999999999997</v>
      </c>
      <c r="D24" s="1019"/>
      <c r="E24" s="522">
        <v>40</v>
      </c>
      <c r="F24" s="523">
        <f>C24*E24</f>
        <v>1459.1999999999998</v>
      </c>
      <c r="G24" s="522">
        <v>1</v>
      </c>
      <c r="H24" s="531">
        <f>F24*G24</f>
        <v>1459.1999999999998</v>
      </c>
      <c r="I24" s="176"/>
      <c r="J24" s="20"/>
      <c r="K24" s="20"/>
      <c r="L24" s="20"/>
      <c r="M24" s="20"/>
      <c r="N24" s="20"/>
    </row>
    <row r="25" spans="1:14" ht="27" customHeight="1" thickBot="1" x14ac:dyDescent="0.3">
      <c r="A25" s="1020" t="s">
        <v>315</v>
      </c>
      <c r="B25" s="1021"/>
      <c r="C25" s="1021"/>
      <c r="D25" s="1021"/>
      <c r="E25" s="1021"/>
      <c r="F25" s="1021"/>
      <c r="G25" s="1021"/>
      <c r="H25" s="526">
        <f>SUM(H21:H24)</f>
        <v>5001.84</v>
      </c>
      <c r="I25" s="176"/>
      <c r="J25" s="20"/>
      <c r="K25" s="20"/>
      <c r="L25" s="20"/>
      <c r="M25" s="20"/>
      <c r="N25" s="20"/>
    </row>
    <row r="26" spans="1:14" ht="30" customHeight="1" thickBot="1" x14ac:dyDescent="0.3">
      <c r="A26" s="1045"/>
      <c r="B26" s="1045"/>
      <c r="C26" s="1045"/>
      <c r="D26" s="1045"/>
      <c r="E26" s="1045"/>
      <c r="F26" s="1045"/>
      <c r="G26" s="1045"/>
      <c r="H26" s="1045"/>
      <c r="I26" s="177"/>
      <c r="J26" s="20"/>
      <c r="K26" s="20"/>
      <c r="L26" s="20"/>
      <c r="M26" s="20"/>
      <c r="N26" s="20"/>
    </row>
    <row r="27" spans="1:14" ht="27" customHeight="1" thickBot="1" x14ac:dyDescent="0.3">
      <c r="A27" s="1030" t="s">
        <v>328</v>
      </c>
      <c r="B27" s="1031"/>
      <c r="C27" s="1031"/>
      <c r="D27" s="1031"/>
      <c r="E27" s="1031"/>
      <c r="F27" s="1031"/>
      <c r="G27" s="1031"/>
      <c r="H27" s="1032"/>
      <c r="I27" s="177"/>
      <c r="J27" s="20"/>
      <c r="K27" s="20"/>
      <c r="L27" s="20"/>
      <c r="M27" s="20"/>
      <c r="N27" s="20"/>
    </row>
    <row r="28" spans="1:14" ht="27" customHeight="1" x14ac:dyDescent="0.25">
      <c r="A28" s="1025"/>
      <c r="B28" s="1026"/>
      <c r="C28" s="1026"/>
      <c r="D28" s="1026"/>
      <c r="E28" s="537" t="s">
        <v>43</v>
      </c>
      <c r="F28" s="537" t="s">
        <v>45</v>
      </c>
      <c r="G28" s="1026"/>
      <c r="H28" s="1055"/>
      <c r="I28" s="177"/>
      <c r="J28" s="20"/>
      <c r="K28" s="20"/>
      <c r="L28" s="20"/>
      <c r="M28" s="20"/>
      <c r="N28" s="20"/>
    </row>
    <row r="29" spans="1:14" ht="38.25" customHeight="1" x14ac:dyDescent="0.25">
      <c r="A29" s="1051" t="s">
        <v>329</v>
      </c>
      <c r="B29" s="1052"/>
      <c r="C29" s="1052"/>
      <c r="D29" s="1052"/>
      <c r="E29" s="532">
        <f>'Hora extra Oficial'!K128</f>
        <v>10</v>
      </c>
      <c r="F29" s="533">
        <f>'Hora extra Oficial'!I128</f>
        <v>53.300648875659448</v>
      </c>
      <c r="G29" s="534" t="s">
        <v>330</v>
      </c>
      <c r="H29" s="535">
        <f t="shared" ref="H29:H33" si="0">E29*F29</f>
        <v>533.00648875659454</v>
      </c>
      <c r="I29" s="177"/>
      <c r="J29" s="20"/>
      <c r="K29" s="20"/>
      <c r="L29" s="20"/>
      <c r="M29" s="20"/>
      <c r="N29" s="20"/>
    </row>
    <row r="30" spans="1:14" ht="38.25" customHeight="1" x14ac:dyDescent="0.25">
      <c r="A30" s="1041" t="s">
        <v>331</v>
      </c>
      <c r="B30" s="1042"/>
      <c r="C30" s="1042"/>
      <c r="D30" s="1042"/>
      <c r="E30" s="532">
        <f>'Hora extra Oficial'!K129</f>
        <v>6</v>
      </c>
      <c r="F30" s="533">
        <f>'Hora extra Oficial'!I129</f>
        <v>66.625811094574289</v>
      </c>
      <c r="G30" s="534" t="s">
        <v>330</v>
      </c>
      <c r="H30" s="535">
        <f t="shared" si="0"/>
        <v>399.75486656744573</v>
      </c>
      <c r="I30" s="20"/>
      <c r="J30" s="20"/>
      <c r="K30" s="20"/>
      <c r="L30" s="20"/>
      <c r="M30" s="20"/>
      <c r="N30" s="20"/>
    </row>
    <row r="31" spans="1:14" ht="38.25" customHeight="1" x14ac:dyDescent="0.25">
      <c r="A31" s="1051" t="s">
        <v>451</v>
      </c>
      <c r="B31" s="1052"/>
      <c r="C31" s="1052"/>
      <c r="D31" s="1052"/>
      <c r="E31" s="532">
        <f>'Hora extra Ajudante'!K128</f>
        <v>10</v>
      </c>
      <c r="F31" s="533">
        <f>'Hora extra Ajudante'!I128</f>
        <v>44.258158977591791</v>
      </c>
      <c r="G31" s="534" t="s">
        <v>330</v>
      </c>
      <c r="H31" s="536">
        <f t="shared" si="0"/>
        <v>442.58158977591791</v>
      </c>
      <c r="I31" s="20"/>
      <c r="J31" s="20"/>
      <c r="K31" s="20"/>
      <c r="L31" s="20"/>
      <c r="M31" s="20"/>
      <c r="N31" s="20"/>
    </row>
    <row r="32" spans="1:14" ht="38.25" customHeight="1" x14ac:dyDescent="0.25">
      <c r="A32" s="1041" t="s">
        <v>452</v>
      </c>
      <c r="B32" s="1042"/>
      <c r="C32" s="1042"/>
      <c r="D32" s="1042"/>
      <c r="E32" s="532">
        <f>'Hora extra Ajudante'!K129</f>
        <v>6</v>
      </c>
      <c r="F32" s="533">
        <f>'Hora extra Ajudante'!I129</f>
        <v>55.322698721989731</v>
      </c>
      <c r="G32" s="534" t="s">
        <v>330</v>
      </c>
      <c r="H32" s="536">
        <f t="shared" si="0"/>
        <v>331.9361923319384</v>
      </c>
      <c r="I32" s="20"/>
      <c r="J32" s="20"/>
      <c r="K32" s="20"/>
      <c r="L32" s="20"/>
      <c r="M32" s="20"/>
      <c r="N32" s="20"/>
    </row>
    <row r="33" spans="1:14" ht="38.25" customHeight="1" thickBot="1" x14ac:dyDescent="0.3">
      <c r="A33" s="1053" t="s">
        <v>332</v>
      </c>
      <c r="B33" s="1054"/>
      <c r="C33" s="1054"/>
      <c r="D33" s="1054"/>
      <c r="E33" s="513">
        <v>2</v>
      </c>
      <c r="F33" s="538">
        <f>'DADOS INICIAIS'!H102*(1+'DADOS INICIAIS'!J91)</f>
        <v>269.78191634753739</v>
      </c>
      <c r="G33" s="539" t="s">
        <v>330</v>
      </c>
      <c r="H33" s="540">
        <f t="shared" si="0"/>
        <v>539.56383269507478</v>
      </c>
      <c r="I33" s="20"/>
      <c r="J33" s="20"/>
      <c r="K33" s="20"/>
      <c r="L33" s="20"/>
      <c r="M33" s="20"/>
      <c r="N33" s="20"/>
    </row>
    <row r="34" spans="1:14" ht="22.5" customHeight="1" thickBot="1" x14ac:dyDescent="0.3">
      <c r="A34" s="1056" t="s">
        <v>333</v>
      </c>
      <c r="B34" s="1057"/>
      <c r="C34" s="1057"/>
      <c r="D34" s="1057"/>
      <c r="E34" s="1057"/>
      <c r="F34" s="1057"/>
      <c r="G34" s="1057"/>
      <c r="H34" s="526">
        <f>SUM(H29:H33)</f>
        <v>2246.8429701269715</v>
      </c>
      <c r="I34" s="20"/>
      <c r="J34" s="20"/>
      <c r="K34" s="20"/>
      <c r="L34" s="20"/>
      <c r="M34" s="20"/>
      <c r="N34" s="20"/>
    </row>
    <row r="35" spans="1:14" ht="30" customHeight="1" thickBot="1" x14ac:dyDescent="0.3">
      <c r="A35" s="1058"/>
      <c r="B35" s="1058"/>
      <c r="C35" s="1058"/>
      <c r="D35" s="1058"/>
      <c r="E35" s="1058"/>
      <c r="F35" s="1058"/>
      <c r="G35" s="1058"/>
      <c r="H35" s="1058"/>
      <c r="I35" s="20"/>
      <c r="J35" s="20"/>
      <c r="K35" s="20"/>
      <c r="L35" s="20"/>
      <c r="M35" s="20"/>
      <c r="N35" s="20"/>
    </row>
    <row r="36" spans="1:14" ht="17.100000000000001" customHeight="1" thickBot="1" x14ac:dyDescent="0.3">
      <c r="A36" s="1030" t="s">
        <v>334</v>
      </c>
      <c r="B36" s="1031"/>
      <c r="C36" s="1031"/>
      <c r="D36" s="1031"/>
      <c r="E36" s="1031"/>
      <c r="F36" s="1031"/>
      <c r="G36" s="1031"/>
      <c r="H36" s="1032"/>
      <c r="I36" s="20"/>
      <c r="J36" s="20"/>
      <c r="K36" s="20"/>
      <c r="L36" s="20"/>
      <c r="M36" s="20"/>
      <c r="N36" s="20"/>
    </row>
    <row r="37" spans="1:14" ht="21" customHeight="1" x14ac:dyDescent="0.25">
      <c r="A37" s="1059" t="s">
        <v>335</v>
      </c>
      <c r="B37" s="1037"/>
      <c r="C37" s="1037"/>
      <c r="D37" s="1037"/>
      <c r="E37" s="1037" t="s">
        <v>336</v>
      </c>
      <c r="F37" s="1037"/>
      <c r="G37" s="1037" t="s">
        <v>337</v>
      </c>
      <c r="H37" s="1039" t="s">
        <v>338</v>
      </c>
      <c r="I37" s="20"/>
      <c r="J37" s="20"/>
      <c r="K37" s="20"/>
      <c r="L37" s="20"/>
      <c r="M37" s="20"/>
      <c r="N37" s="20"/>
    </row>
    <row r="38" spans="1:14" ht="24.6" customHeight="1" thickBot="1" x14ac:dyDescent="0.3">
      <c r="A38" s="1060"/>
      <c r="B38" s="1061"/>
      <c r="C38" s="1061"/>
      <c r="D38" s="1061"/>
      <c r="E38" s="1061"/>
      <c r="F38" s="1061"/>
      <c r="G38" s="1061"/>
      <c r="H38" s="1062"/>
      <c r="I38" s="20"/>
      <c r="J38" s="20"/>
      <c r="K38" s="20"/>
      <c r="L38" s="20"/>
      <c r="M38" s="20"/>
      <c r="N38" s="20"/>
    </row>
    <row r="39" spans="1:14" ht="17.100000000000001" customHeight="1" thickBot="1" x14ac:dyDescent="0.3">
      <c r="A39" s="1063">
        <f>(H7)*0.2</f>
        <v>3298.6126895678972</v>
      </c>
      <c r="B39" s="1064"/>
      <c r="C39" s="1064"/>
      <c r="D39" s="1064"/>
      <c r="E39" s="1065">
        <f>'DADOS INICIAIS'!H106</f>
        <v>0.02</v>
      </c>
      <c r="F39" s="1065"/>
      <c r="G39" s="541">
        <f>'DADOS INICIAIS'!J91</f>
        <v>0.25287659103486448</v>
      </c>
      <c r="H39" s="542">
        <f>(A39*(1-E39))*(1+G39)</f>
        <v>4050.0995292171692</v>
      </c>
      <c r="I39" s="20"/>
      <c r="J39" s="20"/>
      <c r="K39" s="20"/>
      <c r="L39" s="20"/>
      <c r="M39" s="20"/>
      <c r="N39" s="20"/>
    </row>
    <row r="40" spans="1:14" ht="30" customHeight="1" thickBot="1" x14ac:dyDescent="0.3">
      <c r="A40" s="1066"/>
      <c r="B40" s="1066"/>
      <c r="C40" s="1066"/>
      <c r="D40" s="1066"/>
      <c r="E40" s="1066"/>
      <c r="F40" s="1066"/>
      <c r="G40" s="1066"/>
      <c r="H40" s="1066"/>
      <c r="I40" s="20"/>
      <c r="J40" s="20"/>
      <c r="K40" s="20"/>
      <c r="L40" s="20"/>
      <c r="M40" s="20"/>
      <c r="N40" s="20"/>
    </row>
    <row r="41" spans="1:14" ht="17.100000000000001" customHeight="1" thickBot="1" x14ac:dyDescent="0.3">
      <c r="A41" s="1067" t="s">
        <v>339</v>
      </c>
      <c r="B41" s="1068"/>
      <c r="C41" s="1068"/>
      <c r="D41" s="1068"/>
      <c r="E41" s="1068"/>
      <c r="F41" s="1068"/>
      <c r="G41" s="1068"/>
      <c r="H41" s="1069"/>
      <c r="I41" s="20"/>
      <c r="J41" s="20"/>
      <c r="K41" s="20"/>
      <c r="L41" s="20"/>
      <c r="M41" s="20"/>
      <c r="N41" s="20"/>
    </row>
    <row r="42" spans="1:14" ht="17.100000000000001" customHeight="1" x14ac:dyDescent="0.25">
      <c r="A42" s="1059" t="s">
        <v>340</v>
      </c>
      <c r="B42" s="1037"/>
      <c r="C42" s="1037"/>
      <c r="D42" s="1037"/>
      <c r="E42" s="1037" t="s">
        <v>336</v>
      </c>
      <c r="F42" s="1037"/>
      <c r="G42" s="1037" t="s">
        <v>337</v>
      </c>
      <c r="H42" s="1039" t="s">
        <v>338</v>
      </c>
      <c r="I42" s="20"/>
      <c r="J42" s="20"/>
      <c r="K42" s="20"/>
      <c r="L42" s="20"/>
      <c r="M42" s="20"/>
      <c r="N42" s="20"/>
    </row>
    <row r="43" spans="1:14" ht="30.6" customHeight="1" thickBot="1" x14ac:dyDescent="0.3">
      <c r="A43" s="1060"/>
      <c r="B43" s="1061"/>
      <c r="C43" s="1061"/>
      <c r="D43" s="1061"/>
      <c r="E43" s="1061"/>
      <c r="F43" s="1061"/>
      <c r="G43" s="1061"/>
      <c r="H43" s="1062"/>
      <c r="I43" s="20"/>
      <c r="J43" s="20"/>
      <c r="K43" s="20"/>
      <c r="L43" s="20"/>
      <c r="M43" s="20"/>
      <c r="N43" s="20"/>
    </row>
    <row r="44" spans="1:14" ht="17.100000000000001" customHeight="1" thickBot="1" x14ac:dyDescent="0.3">
      <c r="A44" s="1063">
        <f>(H7)*0.3</f>
        <v>4947.9190343518458</v>
      </c>
      <c r="B44" s="1064"/>
      <c r="C44" s="1064"/>
      <c r="D44" s="1064"/>
      <c r="E44" s="1065">
        <f>'DADOS INICIAIS'!H106</f>
        <v>0.02</v>
      </c>
      <c r="F44" s="1065"/>
      <c r="G44" s="541">
        <f>'DADOS INICIAIS'!J91</f>
        <v>0.25287659103486448</v>
      </c>
      <c r="H44" s="542">
        <f>(A44*(1-E44))*(1+G44)</f>
        <v>6075.1492938257543</v>
      </c>
      <c r="I44" s="20"/>
      <c r="J44" s="20"/>
      <c r="K44" s="20"/>
      <c r="L44" s="20"/>
      <c r="M44" s="20"/>
      <c r="N44" s="20"/>
    </row>
    <row r="45" spans="1:14" ht="30" customHeight="1" thickBot="1" x14ac:dyDescent="0.3">
      <c r="A45" s="178"/>
      <c r="B45" s="178"/>
      <c r="C45" s="178"/>
      <c r="D45" s="178"/>
      <c r="E45" s="178"/>
      <c r="F45" s="178"/>
      <c r="G45" s="178"/>
      <c r="H45" s="178"/>
      <c r="I45" s="20"/>
      <c r="J45" s="20"/>
      <c r="K45" s="20"/>
      <c r="L45" s="20"/>
      <c r="M45" s="20"/>
      <c r="N45" s="20"/>
    </row>
    <row r="46" spans="1:14" ht="28.8" customHeight="1" x14ac:dyDescent="0.25">
      <c r="A46" s="1070" t="s">
        <v>341</v>
      </c>
      <c r="B46" s="1071"/>
      <c r="C46" s="1071"/>
      <c r="D46" s="1071"/>
      <c r="E46" s="1071"/>
      <c r="F46" s="1071"/>
      <c r="G46" s="1071"/>
      <c r="H46" s="1072"/>
      <c r="I46" s="20"/>
      <c r="J46" s="20"/>
      <c r="K46" s="20"/>
      <c r="L46" s="20"/>
      <c r="M46" s="20"/>
      <c r="N46" s="20"/>
    </row>
    <row r="47" spans="1:14" ht="38.4" customHeight="1" x14ac:dyDescent="0.25">
      <c r="A47" s="1051" t="s">
        <v>365</v>
      </c>
      <c r="B47" s="1052"/>
      <c r="C47" s="1052"/>
      <c r="D47" s="1052"/>
      <c r="E47" s="1052"/>
      <c r="F47" s="1052"/>
      <c r="G47" s="1052"/>
      <c r="H47" s="536">
        <f>H16+H7+H11</f>
        <v>17246.22678117282</v>
      </c>
      <c r="I47" s="20"/>
      <c r="J47" s="20"/>
      <c r="K47" s="20"/>
      <c r="L47" s="20"/>
      <c r="M47" s="20"/>
      <c r="N47" s="20"/>
    </row>
    <row r="48" spans="1:14" ht="38.4" customHeight="1" thickBot="1" x14ac:dyDescent="0.3">
      <c r="A48" s="1073" t="s">
        <v>453</v>
      </c>
      <c r="B48" s="1074"/>
      <c r="C48" s="1074"/>
      <c r="D48" s="1074"/>
      <c r="E48" s="1074"/>
      <c r="F48" s="1074"/>
      <c r="G48" s="1074"/>
      <c r="H48" s="543">
        <f>H12+H25+H34+H39+H44</f>
        <v>17655.854293169894</v>
      </c>
      <c r="I48" s="20"/>
      <c r="J48" s="20"/>
      <c r="K48" s="20"/>
      <c r="L48" s="20"/>
      <c r="M48" s="20"/>
      <c r="N48" s="20"/>
    </row>
    <row r="49" spans="1:14" ht="9" customHeight="1" x14ac:dyDescent="0.25">
      <c r="A49" s="1075"/>
      <c r="B49" s="1075"/>
      <c r="C49" s="1075"/>
      <c r="D49" s="1075"/>
      <c r="E49" s="1075"/>
      <c r="F49" s="1075"/>
      <c r="G49" s="1075"/>
      <c r="H49" s="1075"/>
      <c r="I49" s="20"/>
      <c r="J49" s="20"/>
      <c r="K49" s="20"/>
      <c r="L49" s="20"/>
      <c r="M49" s="20"/>
      <c r="N49" s="20"/>
    </row>
    <row r="50" spans="1:14" ht="28.8" customHeight="1" x14ac:dyDescent="0.25">
      <c r="A50" s="1076" t="s">
        <v>342</v>
      </c>
      <c r="B50" s="1076"/>
      <c r="C50" s="1076"/>
      <c r="D50" s="1076"/>
      <c r="E50" s="1076"/>
      <c r="F50" s="1076"/>
      <c r="G50" s="1076"/>
      <c r="H50" s="184">
        <f>H47+H48</f>
        <v>34902.081074342714</v>
      </c>
      <c r="I50" s="20"/>
      <c r="J50" s="20"/>
      <c r="K50" s="20"/>
      <c r="L50" s="20"/>
      <c r="M50" s="20"/>
      <c r="N50" s="20"/>
    </row>
    <row r="51" spans="1:14" ht="30" customHeight="1" thickBot="1" x14ac:dyDescent="0.3">
      <c r="A51" s="1077"/>
      <c r="B51" s="1077"/>
      <c r="C51" s="1077"/>
      <c r="D51" s="1077"/>
      <c r="E51" s="1077"/>
      <c r="F51" s="1077"/>
      <c r="G51" s="1077"/>
      <c r="H51" s="1077"/>
      <c r="I51" s="20"/>
      <c r="J51" s="20"/>
      <c r="K51" s="20"/>
      <c r="L51" s="20"/>
      <c r="M51" s="20"/>
      <c r="N51" s="20"/>
    </row>
    <row r="52" spans="1:14" ht="25.8" customHeight="1" thickBot="1" x14ac:dyDescent="0.3">
      <c r="A52" s="1078" t="s">
        <v>343</v>
      </c>
      <c r="B52" s="1079"/>
      <c r="C52" s="1079"/>
      <c r="D52" s="1079"/>
      <c r="E52" s="1079"/>
      <c r="F52" s="1079"/>
      <c r="G52" s="1079"/>
      <c r="H52" s="1080"/>
      <c r="I52" s="20"/>
      <c r="J52" s="20"/>
      <c r="K52" s="20"/>
      <c r="L52" s="20"/>
      <c r="M52" s="20"/>
      <c r="N52" s="20"/>
    </row>
    <row r="53" spans="1:14" x14ac:dyDescent="0.25">
      <c r="A53" s="1081" t="s">
        <v>344</v>
      </c>
      <c r="B53" s="1082"/>
      <c r="C53" s="1082" t="s">
        <v>345</v>
      </c>
      <c r="D53" s="1082"/>
      <c r="E53" s="1082" t="s">
        <v>345</v>
      </c>
      <c r="F53" s="1082" t="s">
        <v>345</v>
      </c>
      <c r="G53" s="1082" t="s">
        <v>345</v>
      </c>
      <c r="H53" s="1083" t="s">
        <v>345</v>
      </c>
      <c r="I53" s="20"/>
      <c r="J53" s="20"/>
      <c r="K53" s="20"/>
      <c r="L53" s="20"/>
      <c r="M53" s="20"/>
      <c r="N53" s="20"/>
    </row>
    <row r="54" spans="1:14" ht="16.2" thickBot="1" x14ac:dyDescent="0.3">
      <c r="A54" s="1084"/>
      <c r="B54" s="1085"/>
      <c r="C54" s="1085"/>
      <c r="D54" s="1085"/>
      <c r="E54" s="1085"/>
      <c r="F54" s="1085"/>
      <c r="G54" s="1085"/>
      <c r="H54" s="1086"/>
      <c r="I54" s="20"/>
      <c r="J54" s="20"/>
      <c r="K54" s="20"/>
      <c r="L54" s="20"/>
      <c r="M54" s="20"/>
      <c r="N54" s="20"/>
    </row>
    <row r="55" spans="1:14" x14ac:dyDescent="0.25">
      <c r="A55" s="1087" t="s">
        <v>289</v>
      </c>
      <c r="B55" s="1088" t="s">
        <v>345</v>
      </c>
      <c r="C55" s="1088" t="s">
        <v>345</v>
      </c>
      <c r="D55" s="1088"/>
      <c r="E55" s="1088" t="s">
        <v>345</v>
      </c>
      <c r="F55" s="1088" t="s">
        <v>345</v>
      </c>
      <c r="G55" s="1088" t="s">
        <v>345</v>
      </c>
      <c r="H55" s="1089" t="s">
        <v>345</v>
      </c>
      <c r="I55" s="20"/>
      <c r="J55" s="20"/>
      <c r="K55" s="20"/>
      <c r="L55" s="20"/>
      <c r="M55" s="20"/>
      <c r="N55" s="20"/>
    </row>
    <row r="56" spans="1:14" ht="39" customHeight="1" x14ac:dyDescent="0.25">
      <c r="A56" s="544" t="s">
        <v>346</v>
      </c>
      <c r="B56" s="1090" t="s">
        <v>476</v>
      </c>
      <c r="C56" s="1090" t="s">
        <v>345</v>
      </c>
      <c r="D56" s="1090"/>
      <c r="E56" s="1090">
        <v>1</v>
      </c>
      <c r="F56" s="1090" t="s">
        <v>345</v>
      </c>
      <c r="G56" s="1090" t="s">
        <v>345</v>
      </c>
      <c r="H56" s="527">
        <f>H50</f>
        <v>34902.081074342714</v>
      </c>
      <c r="I56" s="20"/>
      <c r="J56" s="20"/>
      <c r="K56" s="20"/>
      <c r="L56" s="20"/>
      <c r="M56" s="20"/>
      <c r="N56" s="20"/>
    </row>
    <row r="57" spans="1:14" ht="45.75" customHeight="1" thickBot="1" x14ac:dyDescent="0.3">
      <c r="A57" s="545" t="s">
        <v>122</v>
      </c>
      <c r="B57" s="1091" t="s">
        <v>347</v>
      </c>
      <c r="C57" s="1091" t="s">
        <v>345</v>
      </c>
      <c r="D57" s="1091"/>
      <c r="E57" s="1091" t="s">
        <v>345</v>
      </c>
      <c r="F57" s="1091" t="s">
        <v>345</v>
      </c>
      <c r="G57" s="1091" t="s">
        <v>345</v>
      </c>
      <c r="H57" s="546">
        <f>'DADOS INICIAIS'!D7*H56</f>
        <v>418824.97289211256</v>
      </c>
      <c r="I57" s="20"/>
      <c r="J57" s="20"/>
      <c r="K57" s="20"/>
      <c r="L57" s="20"/>
      <c r="M57" s="20"/>
      <c r="N57" s="20"/>
    </row>
    <row r="58" spans="1:14" x14ac:dyDescent="0.25">
      <c r="A58" s="20"/>
      <c r="B58" s="20"/>
      <c r="C58" s="20"/>
      <c r="D58" s="20"/>
      <c r="E58" s="20"/>
      <c r="F58" s="20"/>
      <c r="G58" s="20"/>
      <c r="H58" s="20"/>
      <c r="I58" s="20"/>
      <c r="J58" s="20"/>
      <c r="K58" s="20"/>
      <c r="L58" s="20"/>
      <c r="M58" s="20"/>
      <c r="N58" s="20"/>
    </row>
    <row r="59" spans="1:14" ht="22.65" customHeight="1" x14ac:dyDescent="0.25">
      <c r="A59" s="1092" t="s">
        <v>348</v>
      </c>
      <c r="B59" s="1092"/>
      <c r="C59" s="1092"/>
      <c r="D59" s="1093">
        <f>H57</f>
        <v>418824.97289211256</v>
      </c>
      <c r="E59" s="1093"/>
      <c r="F59" s="276"/>
      <c r="G59" s="276"/>
      <c r="H59" s="505"/>
      <c r="I59" s="276"/>
      <c r="J59" s="276"/>
      <c r="K59" s="276"/>
      <c r="L59" s="276"/>
      <c r="M59" s="276"/>
      <c r="N59" s="276"/>
    </row>
    <row r="60" spans="1:14" ht="22.65" customHeight="1" x14ac:dyDescent="0.25">
      <c r="A60" s="997" t="s">
        <v>349</v>
      </c>
      <c r="B60" s="997"/>
      <c r="C60" s="997"/>
      <c r="D60" s="1094"/>
      <c r="E60" s="1094"/>
      <c r="F60" s="1094"/>
      <c r="G60" s="1094"/>
      <c r="H60" s="1094"/>
      <c r="I60" s="1094"/>
      <c r="J60" s="1094"/>
      <c r="K60" s="1094"/>
      <c r="L60" s="1094"/>
      <c r="M60" s="1094"/>
      <c r="N60" s="1094"/>
    </row>
    <row r="61" spans="1:14" x14ac:dyDescent="0.25">
      <c r="A61" s="276"/>
      <c r="B61" s="276"/>
      <c r="C61" s="276"/>
      <c r="D61" s="276"/>
      <c r="E61" s="276"/>
      <c r="F61" s="276"/>
      <c r="G61" s="276"/>
      <c r="H61" s="276"/>
      <c r="I61" s="276"/>
      <c r="J61" s="276"/>
      <c r="K61" s="276"/>
      <c r="L61" s="276"/>
      <c r="M61" s="276"/>
      <c r="N61" s="276"/>
    </row>
    <row r="62" spans="1:14" x14ac:dyDescent="0.25">
      <c r="A62" s="276"/>
      <c r="B62" s="276"/>
      <c r="C62" s="276"/>
      <c r="D62" s="276"/>
      <c r="E62" s="276"/>
      <c r="F62" s="276"/>
      <c r="G62" s="276"/>
      <c r="H62" s="276"/>
      <c r="I62" s="276"/>
      <c r="J62" s="276"/>
      <c r="K62" s="276"/>
      <c r="L62" s="276"/>
      <c r="M62" s="276"/>
      <c r="N62" s="276"/>
    </row>
    <row r="63" spans="1:14" ht="22.65" customHeight="1" x14ac:dyDescent="0.25">
      <c r="A63" s="726" t="s">
        <v>350</v>
      </c>
      <c r="B63" s="726"/>
      <c r="C63" s="726"/>
      <c r="D63" s="1095"/>
      <c r="E63" s="1095"/>
      <c r="F63" s="1095"/>
      <c r="G63" s="1095"/>
      <c r="H63" s="1095"/>
      <c r="I63" s="1095"/>
      <c r="J63" s="1095"/>
      <c r="K63" s="1095"/>
      <c r="L63" s="1095"/>
      <c r="M63" s="1095"/>
      <c r="N63" s="1095"/>
    </row>
    <row r="64" spans="1:14" ht="22.65" customHeight="1" x14ac:dyDescent="0.25">
      <c r="A64" s="726" t="s">
        <v>351</v>
      </c>
      <c r="B64" s="726"/>
      <c r="C64" s="1095"/>
      <c r="D64" s="1095"/>
      <c r="E64" s="1095"/>
      <c r="F64" s="1095"/>
      <c r="G64" s="1096" t="s">
        <v>352</v>
      </c>
      <c r="H64" s="1096"/>
      <c r="I64" s="1095"/>
      <c r="J64" s="1095"/>
      <c r="K64" s="1095"/>
      <c r="L64" s="1095"/>
      <c r="M64" s="1095"/>
      <c r="N64" s="1095"/>
    </row>
    <row r="65" spans="1:14" ht="22.65" customHeight="1" x14ac:dyDescent="0.25">
      <c r="A65" s="726" t="s">
        <v>353</v>
      </c>
      <c r="B65" s="726"/>
      <c r="C65" s="1095"/>
      <c r="D65" s="1095"/>
      <c r="E65" s="1095"/>
      <c r="F65" s="1095"/>
      <c r="G65" s="1095"/>
      <c r="H65" s="1095"/>
      <c r="I65" s="1095"/>
      <c r="J65" s="1095"/>
      <c r="K65" s="1095"/>
      <c r="L65" s="1095"/>
      <c r="M65" s="1095"/>
      <c r="N65" s="1095"/>
    </row>
    <row r="66" spans="1:14" ht="22.65" customHeight="1" x14ac:dyDescent="0.25">
      <c r="A66" s="726" t="s">
        <v>354</v>
      </c>
      <c r="B66" s="726"/>
      <c r="C66" s="1095"/>
      <c r="D66" s="1095"/>
      <c r="E66" s="1095"/>
      <c r="F66" s="1095"/>
      <c r="G66" s="1096" t="s">
        <v>355</v>
      </c>
      <c r="H66" s="1096"/>
      <c r="I66" s="1095"/>
      <c r="J66" s="1095"/>
      <c r="K66" s="1095"/>
      <c r="L66" s="1095"/>
      <c r="M66" s="1095"/>
      <c r="N66" s="1095"/>
    </row>
    <row r="67" spans="1:14" ht="22.65" customHeight="1" x14ac:dyDescent="0.25">
      <c r="A67" s="726" t="s">
        <v>356</v>
      </c>
      <c r="B67" s="726"/>
      <c r="C67" s="1095"/>
      <c r="D67" s="1095"/>
      <c r="E67" s="1095"/>
      <c r="F67" s="1095"/>
      <c r="G67" s="1095"/>
      <c r="H67" s="1095"/>
      <c r="I67" s="1095"/>
      <c r="J67" s="1095"/>
      <c r="K67" s="1095"/>
      <c r="L67" s="1095"/>
      <c r="M67" s="1095"/>
      <c r="N67" s="1095"/>
    </row>
    <row r="68" spans="1:14" ht="22.65" customHeight="1" x14ac:dyDescent="0.25">
      <c r="A68" s="276"/>
      <c r="B68" s="276"/>
      <c r="C68" s="276"/>
      <c r="D68" s="276"/>
      <c r="E68" s="276"/>
      <c r="F68" s="276"/>
      <c r="G68" s="276"/>
      <c r="H68" s="276"/>
      <c r="I68" s="276"/>
      <c r="J68" s="276"/>
      <c r="K68" s="276"/>
      <c r="L68" s="276"/>
      <c r="M68" s="276"/>
      <c r="N68" s="276"/>
    </row>
    <row r="69" spans="1:14" ht="22.65" customHeight="1" x14ac:dyDescent="0.25">
      <c r="A69" s="1098" t="s">
        <v>357</v>
      </c>
      <c r="B69" s="1098"/>
      <c r="C69" s="1098"/>
      <c r="D69" s="506"/>
      <c r="E69" s="276" t="s">
        <v>358</v>
      </c>
      <c r="F69" s="276"/>
      <c r="G69" s="276"/>
      <c r="H69" s="276"/>
      <c r="I69" s="276"/>
      <c r="J69" s="276"/>
      <c r="K69" s="276"/>
      <c r="L69" s="276"/>
      <c r="M69" s="276"/>
      <c r="N69" s="276"/>
    </row>
    <row r="70" spans="1:14" x14ac:dyDescent="0.25">
      <c r="A70" s="276"/>
      <c r="B70" s="276"/>
      <c r="C70" s="276"/>
      <c r="D70" s="276"/>
      <c r="E70" s="276"/>
      <c r="F70" s="276"/>
      <c r="G70" s="276"/>
      <c r="H70" s="276"/>
      <c r="I70" s="276"/>
      <c r="J70" s="276"/>
      <c r="K70" s="276"/>
      <c r="L70" s="276"/>
      <c r="M70" s="276"/>
      <c r="N70" s="276"/>
    </row>
    <row r="71" spans="1:14" x14ac:dyDescent="0.25">
      <c r="A71" s="276"/>
      <c r="B71" s="276"/>
      <c r="C71" s="276"/>
      <c r="D71" s="276"/>
      <c r="E71" s="276"/>
      <c r="F71" s="276"/>
      <c r="G71" s="276"/>
      <c r="H71" s="276"/>
      <c r="I71" s="276"/>
      <c r="J71" s="276"/>
      <c r="K71" s="276"/>
      <c r="L71" s="276"/>
      <c r="M71" s="276"/>
      <c r="N71" s="276"/>
    </row>
    <row r="72" spans="1:14" ht="17.100000000000001" customHeight="1" x14ac:dyDescent="0.25">
      <c r="A72" s="1099" t="s">
        <v>474</v>
      </c>
      <c r="B72" s="1099"/>
      <c r="C72" s="1099"/>
      <c r="D72" s="1099"/>
      <c r="E72" s="1099"/>
      <c r="F72" s="1099"/>
      <c r="G72" s="1099"/>
      <c r="H72" s="1099"/>
      <c r="I72" s="1099"/>
      <c r="J72" s="1099"/>
      <c r="K72" s="1099"/>
      <c r="L72" s="1099"/>
      <c r="M72" s="1099"/>
      <c r="N72" s="1099"/>
    </row>
    <row r="73" spans="1:14" x14ac:dyDescent="0.25">
      <c r="A73" s="20"/>
      <c r="B73" s="20"/>
      <c r="C73" s="20"/>
      <c r="D73" s="20"/>
      <c r="E73" s="20"/>
      <c r="F73" s="20"/>
      <c r="G73" s="20"/>
      <c r="H73" s="20"/>
      <c r="I73" s="20"/>
      <c r="J73" s="20"/>
      <c r="K73" s="20"/>
      <c r="L73" s="20"/>
      <c r="M73" s="20"/>
      <c r="N73" s="20"/>
    </row>
    <row r="74" spans="1:14" x14ac:dyDescent="0.25">
      <c r="A74" s="20"/>
      <c r="B74" s="20"/>
      <c r="C74" s="20"/>
      <c r="D74" s="20"/>
      <c r="E74" s="20"/>
      <c r="F74" s="20"/>
      <c r="G74" s="20"/>
      <c r="H74" s="20"/>
      <c r="I74" s="20"/>
      <c r="J74" s="20"/>
      <c r="K74" s="20"/>
      <c r="L74" s="20"/>
      <c r="M74" s="20"/>
      <c r="N74" s="20"/>
    </row>
    <row r="75" spans="1:14" x14ac:dyDescent="0.25">
      <c r="A75" s="20"/>
      <c r="B75" s="20"/>
      <c r="C75" s="20"/>
      <c r="D75" s="20"/>
      <c r="E75" s="20"/>
      <c r="F75" s="20"/>
      <c r="G75" s="20"/>
      <c r="H75" s="20"/>
      <c r="I75" s="20"/>
      <c r="J75" s="20"/>
      <c r="K75" s="20"/>
      <c r="L75" s="20"/>
      <c r="M75" s="20"/>
      <c r="N75" s="20"/>
    </row>
    <row r="76" spans="1:14" x14ac:dyDescent="0.25">
      <c r="A76" s="1100" t="s">
        <v>359</v>
      </c>
      <c r="B76" s="1100"/>
      <c r="C76" s="1100"/>
      <c r="D76" s="1100"/>
      <c r="E76" s="1100"/>
      <c r="F76" s="1100"/>
      <c r="G76" s="1100"/>
      <c r="H76" s="1100"/>
      <c r="I76" s="1100"/>
      <c r="J76" s="1100"/>
      <c r="K76" s="1100"/>
      <c r="L76" s="1100"/>
      <c r="M76" s="1100"/>
      <c r="N76" s="1100"/>
    </row>
    <row r="77" spans="1:14" x14ac:dyDescent="0.25">
      <c r="A77" s="1097" t="s">
        <v>360</v>
      </c>
      <c r="B77" s="1097"/>
      <c r="C77" s="1097"/>
      <c r="D77" s="1097"/>
      <c r="E77" s="1097"/>
      <c r="F77" s="1097"/>
      <c r="G77" s="1097"/>
      <c r="H77" s="1097"/>
      <c r="I77" s="1097"/>
      <c r="J77" s="1097"/>
      <c r="K77" s="1097"/>
      <c r="L77" s="1097"/>
      <c r="M77" s="1097"/>
      <c r="N77" s="1097"/>
    </row>
    <row r="78" spans="1:14" x14ac:dyDescent="0.25">
      <c r="A78" s="1097" t="s">
        <v>361</v>
      </c>
      <c r="B78" s="1097"/>
      <c r="C78" s="1097"/>
      <c r="D78" s="1097"/>
      <c r="E78" s="1097"/>
      <c r="F78" s="1097"/>
      <c r="G78" s="1097"/>
      <c r="H78" s="1097"/>
      <c r="I78" s="1097"/>
      <c r="J78" s="1097"/>
      <c r="K78" s="1097"/>
      <c r="L78" s="1097"/>
      <c r="M78" s="1097"/>
      <c r="N78" s="1097"/>
    </row>
    <row r="79" spans="1:14" x14ac:dyDescent="0.25">
      <c r="A79" s="20"/>
      <c r="B79" s="20"/>
      <c r="C79" s="20"/>
      <c r="D79" s="20"/>
      <c r="E79" s="20"/>
      <c r="F79" s="20"/>
      <c r="G79" s="20"/>
      <c r="H79" s="20"/>
      <c r="I79" s="20"/>
      <c r="J79" s="20"/>
      <c r="K79" s="20"/>
      <c r="L79" s="20"/>
      <c r="M79" s="20"/>
      <c r="N79" s="20"/>
    </row>
    <row r="80" spans="1:14" x14ac:dyDescent="0.25">
      <c r="A80" s="20"/>
      <c r="B80" s="20"/>
      <c r="C80" s="20"/>
      <c r="D80" s="20"/>
      <c r="E80" s="20"/>
      <c r="F80" s="20"/>
      <c r="G80" s="20"/>
      <c r="H80" s="20"/>
      <c r="I80" s="20"/>
      <c r="J80" s="20"/>
      <c r="K80" s="20"/>
      <c r="L80" s="20"/>
      <c r="M80" s="20"/>
      <c r="N80" s="20"/>
    </row>
    <row r="81" spans="1:14" x14ac:dyDescent="0.25">
      <c r="A81" s="20"/>
      <c r="B81" s="20"/>
      <c r="C81" s="20"/>
      <c r="D81" s="20"/>
      <c r="E81" s="20"/>
      <c r="F81" s="20"/>
      <c r="G81" s="20"/>
      <c r="H81" s="20"/>
      <c r="I81" s="20"/>
      <c r="J81" s="20"/>
      <c r="K81" s="20"/>
      <c r="L81" s="20"/>
      <c r="M81" s="20"/>
      <c r="N81" s="20"/>
    </row>
    <row r="82" spans="1:14" x14ac:dyDescent="0.25">
      <c r="A82" s="20"/>
      <c r="B82" s="20"/>
      <c r="C82" s="20"/>
      <c r="D82" s="20"/>
      <c r="E82" s="20"/>
      <c r="F82" s="20"/>
      <c r="G82" s="20"/>
      <c r="H82" s="20"/>
      <c r="I82" s="20"/>
      <c r="J82" s="20"/>
      <c r="K82" s="20"/>
      <c r="L82" s="20"/>
      <c r="M82" s="20"/>
      <c r="N82" s="20"/>
    </row>
    <row r="83" spans="1:14" x14ac:dyDescent="0.25">
      <c r="A83" s="20"/>
      <c r="B83" s="20"/>
      <c r="C83" s="20"/>
      <c r="D83" s="20"/>
      <c r="E83" s="20"/>
      <c r="F83" s="20"/>
      <c r="G83" s="20"/>
      <c r="H83" s="20"/>
      <c r="I83" s="20"/>
      <c r="J83" s="20"/>
      <c r="K83" s="20"/>
      <c r="L83" s="20"/>
      <c r="M83" s="20"/>
      <c r="N83" s="20"/>
    </row>
    <row r="84" spans="1:14" x14ac:dyDescent="0.25">
      <c r="A84" s="20"/>
      <c r="B84" s="20"/>
      <c r="C84" s="20"/>
      <c r="D84" s="20"/>
      <c r="E84" s="20"/>
      <c r="F84" s="20"/>
      <c r="G84" s="20"/>
      <c r="H84" s="20"/>
      <c r="I84" s="20"/>
      <c r="J84" s="20"/>
      <c r="K84" s="20"/>
      <c r="L84" s="20"/>
      <c r="M84" s="20"/>
      <c r="N84" s="20"/>
    </row>
    <row r="85" spans="1:14" x14ac:dyDescent="0.25">
      <c r="A85" s="20"/>
      <c r="B85" s="20"/>
      <c r="C85" s="20"/>
      <c r="D85" s="20"/>
      <c r="E85" s="20"/>
      <c r="F85" s="20"/>
      <c r="G85" s="20"/>
      <c r="H85" s="20"/>
      <c r="I85" s="20"/>
      <c r="J85" s="20"/>
      <c r="K85" s="20"/>
      <c r="L85" s="20"/>
      <c r="M85" s="20"/>
      <c r="N85" s="20"/>
    </row>
    <row r="86" spans="1:14" x14ac:dyDescent="0.25">
      <c r="A86" s="20"/>
      <c r="B86" s="20"/>
      <c r="C86" s="20"/>
      <c r="D86" s="20"/>
      <c r="E86" s="20"/>
      <c r="F86" s="20"/>
      <c r="G86" s="20"/>
      <c r="H86" s="20"/>
      <c r="I86" s="20"/>
      <c r="J86" s="20"/>
      <c r="K86" s="20"/>
      <c r="L86" s="20"/>
      <c r="M86" s="20"/>
      <c r="N86" s="20"/>
    </row>
    <row r="87" spans="1:14" x14ac:dyDescent="0.25">
      <c r="A87" s="20"/>
      <c r="B87" s="20"/>
      <c r="C87" s="20"/>
      <c r="D87" s="20"/>
      <c r="E87" s="20"/>
      <c r="F87" s="20"/>
      <c r="G87" s="20"/>
      <c r="H87" s="20"/>
      <c r="I87" s="20"/>
      <c r="J87" s="20"/>
      <c r="K87" s="20"/>
      <c r="L87" s="20"/>
      <c r="M87" s="20"/>
      <c r="N87" s="20"/>
    </row>
    <row r="88" spans="1:14" x14ac:dyDescent="0.25">
      <c r="A88" s="20"/>
      <c r="B88" s="20"/>
      <c r="C88" s="20"/>
      <c r="D88" s="20"/>
      <c r="E88" s="20"/>
      <c r="F88" s="20"/>
      <c r="G88" s="20"/>
      <c r="H88" s="20"/>
      <c r="I88" s="20"/>
      <c r="J88" s="20"/>
      <c r="K88" s="20"/>
      <c r="L88" s="20"/>
      <c r="M88" s="20"/>
      <c r="N88" s="20"/>
    </row>
    <row r="89" spans="1:14" x14ac:dyDescent="0.25">
      <c r="A89" s="20"/>
      <c r="B89" s="20"/>
      <c r="C89" s="20"/>
      <c r="D89" s="20"/>
      <c r="E89" s="20"/>
      <c r="F89" s="20"/>
      <c r="G89" s="20"/>
      <c r="H89" s="20"/>
      <c r="I89" s="20"/>
      <c r="J89" s="20"/>
      <c r="K89" s="20"/>
      <c r="L89" s="20"/>
      <c r="M89" s="20"/>
      <c r="N89" s="20"/>
    </row>
    <row r="90" spans="1:14" x14ac:dyDescent="0.25">
      <c r="A90" s="20"/>
      <c r="B90" s="20"/>
      <c r="C90" s="20"/>
      <c r="D90" s="20"/>
      <c r="E90" s="20"/>
      <c r="F90" s="20"/>
      <c r="G90" s="20"/>
      <c r="H90" s="20"/>
      <c r="I90" s="20"/>
      <c r="J90" s="20"/>
      <c r="K90" s="20"/>
      <c r="L90" s="20"/>
      <c r="M90" s="20"/>
      <c r="N90" s="20"/>
    </row>
    <row r="91" spans="1:14" x14ac:dyDescent="0.25">
      <c r="A91" s="20"/>
      <c r="B91" s="20"/>
      <c r="C91" s="20"/>
      <c r="D91" s="20"/>
      <c r="E91" s="20"/>
      <c r="F91" s="20"/>
      <c r="G91" s="20"/>
      <c r="H91" s="20"/>
      <c r="I91" s="20"/>
      <c r="J91" s="20"/>
      <c r="K91" s="20"/>
      <c r="L91" s="20"/>
      <c r="M91" s="20"/>
      <c r="N91" s="20"/>
    </row>
    <row r="92" spans="1:14" x14ac:dyDescent="0.25">
      <c r="A92" s="20"/>
      <c r="B92" s="20"/>
      <c r="C92" s="20"/>
      <c r="D92" s="20"/>
      <c r="E92" s="20"/>
      <c r="F92" s="20"/>
      <c r="G92" s="20"/>
      <c r="H92" s="20"/>
      <c r="I92" s="20"/>
      <c r="J92" s="20"/>
      <c r="K92" s="20"/>
      <c r="L92" s="20"/>
      <c r="M92" s="20"/>
      <c r="N92" s="20"/>
    </row>
    <row r="93" spans="1:14" x14ac:dyDescent="0.25">
      <c r="A93" s="20"/>
      <c r="B93" s="20"/>
      <c r="C93" s="20"/>
      <c r="D93" s="20"/>
      <c r="E93" s="20"/>
      <c r="F93" s="20"/>
      <c r="G93" s="20"/>
      <c r="H93" s="20"/>
      <c r="I93" s="20"/>
      <c r="J93" s="20"/>
      <c r="K93" s="20"/>
      <c r="L93" s="20"/>
      <c r="M93" s="20"/>
      <c r="N93" s="20"/>
    </row>
    <row r="94" spans="1:14" x14ac:dyDescent="0.25">
      <c r="A94" s="20"/>
      <c r="B94" s="20"/>
      <c r="C94" s="20"/>
      <c r="D94" s="20"/>
      <c r="E94" s="20"/>
      <c r="F94" s="20"/>
      <c r="G94" s="20"/>
      <c r="H94" s="20"/>
      <c r="I94" s="20"/>
      <c r="J94" s="20"/>
      <c r="K94" s="20"/>
      <c r="L94" s="20"/>
      <c r="M94" s="20"/>
      <c r="N94" s="20"/>
    </row>
    <row r="95" spans="1:14" x14ac:dyDescent="0.25">
      <c r="A95" s="20"/>
      <c r="B95" s="20"/>
      <c r="C95" s="20"/>
      <c r="D95" s="20"/>
      <c r="E95" s="20"/>
      <c r="F95" s="20"/>
      <c r="G95" s="20"/>
      <c r="H95" s="20"/>
      <c r="I95" s="20"/>
      <c r="J95" s="20"/>
      <c r="K95" s="20"/>
      <c r="L95" s="20"/>
      <c r="M95" s="20"/>
      <c r="N95" s="20"/>
    </row>
    <row r="96" spans="1:14" x14ac:dyDescent="0.25">
      <c r="A96" s="20"/>
      <c r="B96" s="20"/>
      <c r="C96" s="20"/>
      <c r="D96" s="20"/>
      <c r="E96" s="20"/>
      <c r="F96" s="20"/>
      <c r="G96" s="20"/>
      <c r="H96" s="20"/>
      <c r="I96" s="20"/>
      <c r="J96" s="20"/>
      <c r="K96" s="20"/>
      <c r="L96" s="20"/>
      <c r="M96" s="20"/>
      <c r="N96" s="20"/>
    </row>
    <row r="97" spans="1:14" x14ac:dyDescent="0.25">
      <c r="A97" s="20"/>
      <c r="B97" s="20"/>
      <c r="C97" s="20"/>
      <c r="D97" s="20"/>
      <c r="E97" s="20"/>
      <c r="F97" s="20"/>
      <c r="G97" s="20"/>
      <c r="H97" s="20"/>
      <c r="I97" s="20"/>
      <c r="J97" s="20"/>
      <c r="K97" s="20"/>
      <c r="L97" s="20"/>
      <c r="M97" s="20"/>
      <c r="N97" s="20"/>
    </row>
    <row r="98" spans="1:14" x14ac:dyDescent="0.25">
      <c r="A98" s="20"/>
      <c r="B98" s="20"/>
      <c r="C98" s="20"/>
      <c r="D98" s="20"/>
      <c r="E98" s="20"/>
      <c r="F98" s="20"/>
      <c r="G98" s="20"/>
      <c r="H98" s="20"/>
      <c r="I98" s="20"/>
      <c r="J98" s="20"/>
      <c r="K98" s="20"/>
      <c r="L98" s="20"/>
      <c r="M98" s="20"/>
      <c r="N98" s="20"/>
    </row>
    <row r="99" spans="1:14" x14ac:dyDescent="0.25">
      <c r="A99" s="20"/>
      <c r="B99" s="20"/>
      <c r="C99" s="20"/>
      <c r="D99" s="20"/>
      <c r="E99" s="20"/>
      <c r="F99" s="20"/>
      <c r="G99" s="20"/>
      <c r="H99" s="20"/>
      <c r="I99" s="20"/>
      <c r="J99" s="20"/>
      <c r="K99" s="20"/>
      <c r="L99" s="20"/>
      <c r="M99" s="20"/>
      <c r="N99" s="20"/>
    </row>
    <row r="100" spans="1:14" x14ac:dyDescent="0.25">
      <c r="A100" s="20"/>
      <c r="B100" s="20"/>
      <c r="C100" s="20"/>
      <c r="D100" s="20"/>
      <c r="E100" s="20"/>
      <c r="F100" s="20"/>
      <c r="G100" s="20"/>
      <c r="H100" s="20"/>
      <c r="I100" s="20"/>
      <c r="J100" s="20"/>
      <c r="K100" s="20"/>
      <c r="L100" s="20"/>
      <c r="M100" s="20"/>
      <c r="N100" s="20"/>
    </row>
    <row r="101" spans="1:14" x14ac:dyDescent="0.25">
      <c r="A101" s="20"/>
      <c r="B101" s="20"/>
      <c r="C101" s="20"/>
      <c r="D101" s="20"/>
      <c r="E101" s="20"/>
      <c r="F101" s="20"/>
      <c r="G101" s="20"/>
      <c r="H101" s="20"/>
      <c r="I101" s="20"/>
      <c r="J101" s="20"/>
      <c r="K101" s="20"/>
      <c r="L101" s="20"/>
      <c r="M101" s="20"/>
      <c r="N101" s="20"/>
    </row>
    <row r="102" spans="1:14" x14ac:dyDescent="0.25">
      <c r="A102" s="20"/>
      <c r="B102" s="20"/>
      <c r="C102" s="20"/>
      <c r="D102" s="20"/>
      <c r="E102" s="20"/>
      <c r="F102" s="20"/>
      <c r="G102" s="20"/>
      <c r="H102" s="20"/>
      <c r="I102" s="20"/>
      <c r="J102" s="20"/>
      <c r="K102" s="20"/>
      <c r="L102" s="20"/>
      <c r="M102" s="20"/>
      <c r="N102" s="20"/>
    </row>
    <row r="103" spans="1:14" x14ac:dyDescent="0.25">
      <c r="A103" s="20"/>
      <c r="B103" s="20"/>
      <c r="C103" s="20"/>
      <c r="D103" s="20"/>
      <c r="E103" s="20"/>
      <c r="F103" s="20"/>
      <c r="G103" s="20"/>
      <c r="H103" s="20"/>
      <c r="I103" s="20"/>
      <c r="J103" s="20"/>
      <c r="K103" s="20"/>
      <c r="L103" s="20"/>
      <c r="M103" s="20"/>
      <c r="N103" s="20"/>
    </row>
    <row r="104" spans="1:14" x14ac:dyDescent="0.25">
      <c r="A104" s="20"/>
      <c r="B104" s="20"/>
      <c r="C104" s="20"/>
      <c r="D104" s="20"/>
      <c r="E104" s="20"/>
      <c r="F104" s="20"/>
      <c r="G104" s="20"/>
      <c r="H104" s="20"/>
      <c r="I104" s="20"/>
      <c r="J104" s="20"/>
      <c r="K104" s="20"/>
      <c r="L104" s="20"/>
      <c r="M104" s="20"/>
      <c r="N104" s="20"/>
    </row>
    <row r="105" spans="1:14" x14ac:dyDescent="0.25">
      <c r="A105" s="20"/>
      <c r="B105" s="20"/>
      <c r="C105" s="20"/>
      <c r="D105" s="20"/>
      <c r="E105" s="20"/>
      <c r="F105" s="20"/>
      <c r="G105" s="20"/>
      <c r="H105" s="20"/>
      <c r="I105" s="20"/>
      <c r="J105" s="20"/>
      <c r="K105" s="20"/>
      <c r="L105" s="20"/>
      <c r="M105" s="20"/>
      <c r="N105" s="20"/>
    </row>
  </sheetData>
  <sheetProtection selectLockedCells="1" selectUnlockedCells="1"/>
  <mergeCells count="91">
    <mergeCell ref="A78:N78"/>
    <mergeCell ref="A67:B67"/>
    <mergeCell ref="C67:N67"/>
    <mergeCell ref="A69:C69"/>
    <mergeCell ref="A72:N72"/>
    <mergeCell ref="A76:N76"/>
    <mergeCell ref="A77:N77"/>
    <mergeCell ref="A65:B65"/>
    <mergeCell ref="C65:N65"/>
    <mergeCell ref="A66:B66"/>
    <mergeCell ref="C66:F66"/>
    <mergeCell ref="G66:H66"/>
    <mergeCell ref="I66:N66"/>
    <mergeCell ref="A60:C60"/>
    <mergeCell ref="D60:N60"/>
    <mergeCell ref="A63:C63"/>
    <mergeCell ref="D63:N63"/>
    <mergeCell ref="A64:B64"/>
    <mergeCell ref="C64:F64"/>
    <mergeCell ref="G64:H64"/>
    <mergeCell ref="I64:N64"/>
    <mergeCell ref="A55:H55"/>
    <mergeCell ref="B56:G56"/>
    <mergeCell ref="B57:G57"/>
    <mergeCell ref="A59:C59"/>
    <mergeCell ref="D59:E59"/>
    <mergeCell ref="A49:H49"/>
    <mergeCell ref="A50:G50"/>
    <mergeCell ref="A51:H51"/>
    <mergeCell ref="A52:H52"/>
    <mergeCell ref="A53:H54"/>
    <mergeCell ref="A44:D44"/>
    <mergeCell ref="E44:F44"/>
    <mergeCell ref="A46:H46"/>
    <mergeCell ref="A47:G47"/>
    <mergeCell ref="A48:G48"/>
    <mergeCell ref="A39:D39"/>
    <mergeCell ref="E39:F39"/>
    <mergeCell ref="A40:H40"/>
    <mergeCell ref="A41:H41"/>
    <mergeCell ref="A42:D43"/>
    <mergeCell ref="E42:F43"/>
    <mergeCell ref="G42:G43"/>
    <mergeCell ref="H42:H43"/>
    <mergeCell ref="A34:G34"/>
    <mergeCell ref="A35:H35"/>
    <mergeCell ref="A36:H36"/>
    <mergeCell ref="A37:D38"/>
    <mergeCell ref="E37:F38"/>
    <mergeCell ref="G37:G38"/>
    <mergeCell ref="H37:H38"/>
    <mergeCell ref="A30:D30"/>
    <mergeCell ref="A31:D31"/>
    <mergeCell ref="A32:D32"/>
    <mergeCell ref="A33:D33"/>
    <mergeCell ref="A26:H26"/>
    <mergeCell ref="A27:H27"/>
    <mergeCell ref="A28:D28"/>
    <mergeCell ref="G28:H28"/>
    <mergeCell ref="A29:D29"/>
    <mergeCell ref="C21:D21"/>
    <mergeCell ref="C22:D22"/>
    <mergeCell ref="C23:D23"/>
    <mergeCell ref="C24:D24"/>
    <mergeCell ref="A25:G25"/>
    <mergeCell ref="A11:E11"/>
    <mergeCell ref="A12:E12"/>
    <mergeCell ref="A17:H17"/>
    <mergeCell ref="A18:H18"/>
    <mergeCell ref="A19:B20"/>
    <mergeCell ref="C19:D20"/>
    <mergeCell ref="E19:E20"/>
    <mergeCell ref="F19:F20"/>
    <mergeCell ref="G19:G20"/>
    <mergeCell ref="H19:H20"/>
    <mergeCell ref="A14:H14"/>
    <mergeCell ref="A15:G15"/>
    <mergeCell ref="A16:G16"/>
    <mergeCell ref="A1:H1"/>
    <mergeCell ref="A2:H2"/>
    <mergeCell ref="A3:B4"/>
    <mergeCell ref="C3:D4"/>
    <mergeCell ref="E3:E4"/>
    <mergeCell ref="F3:F4"/>
    <mergeCell ref="G3:G4"/>
    <mergeCell ref="H3:H4"/>
    <mergeCell ref="C5:D5"/>
    <mergeCell ref="C6:D6"/>
    <mergeCell ref="A7:G7"/>
    <mergeCell ref="A9:H9"/>
    <mergeCell ref="A10:E10"/>
  </mergeCells>
  <pageMargins left="0.59027777777777779" right="0.39374999999999999" top="0.98402777777777772" bottom="0.98402777777777772" header="0.51180555555555551" footer="0.51180555555555551"/>
  <pageSetup paperSize="9" scale="60"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P137"/>
  <sheetViews>
    <sheetView showGridLines="0" topLeftCell="A108" zoomScale="85" zoomScaleNormal="85" workbookViewId="0">
      <selection activeCell="M118" sqref="M118"/>
    </sheetView>
  </sheetViews>
  <sheetFormatPr defaultColWidth="13.44140625" defaultRowHeight="15.6" x14ac:dyDescent="0.3"/>
  <cols>
    <col min="1" max="1" width="1.44140625" style="271" customWidth="1"/>
    <col min="2" max="11" width="13.44140625" style="271" customWidth="1"/>
    <col min="12" max="12" width="20.21875" style="271" customWidth="1"/>
    <col min="13" max="13" width="94.5546875" style="339" bestFit="1" customWidth="1"/>
    <col min="14" max="14" width="45.77734375" style="271" customWidth="1"/>
    <col min="15" max="16384" width="13.44140625" style="271"/>
  </cols>
  <sheetData>
    <row r="1" spans="1:12" ht="21.75" customHeight="1" x14ac:dyDescent="0.3">
      <c r="A1" s="270"/>
      <c r="B1" s="720" t="s">
        <v>106</v>
      </c>
      <c r="C1" s="721"/>
      <c r="D1" s="721"/>
      <c r="E1" s="721"/>
      <c r="F1" s="721"/>
      <c r="G1" s="721"/>
      <c r="H1" s="721"/>
      <c r="I1" s="721"/>
      <c r="J1" s="722"/>
      <c r="K1" s="723"/>
      <c r="L1" s="723"/>
    </row>
    <row r="2" spans="1:12" ht="21.75" customHeight="1" x14ac:dyDescent="0.3">
      <c r="A2" s="270"/>
      <c r="B2" s="724" t="s">
        <v>2</v>
      </c>
      <c r="C2" s="725"/>
      <c r="D2" s="725"/>
      <c r="E2" s="726" t="str">
        <f>'DADOS INICIAIS'!D2</f>
        <v>16034.720017/2023-24</v>
      </c>
      <c r="F2" s="726"/>
      <c r="G2" s="726"/>
      <c r="H2" s="726"/>
      <c r="I2" s="726"/>
      <c r="J2" s="727"/>
      <c r="K2" s="723"/>
      <c r="L2" s="723"/>
    </row>
    <row r="3" spans="1:12" ht="21.75" customHeight="1" x14ac:dyDescent="0.3">
      <c r="A3" s="270"/>
      <c r="B3" s="724" t="s">
        <v>3</v>
      </c>
      <c r="C3" s="725"/>
      <c r="D3" s="725"/>
      <c r="E3" s="728" t="str">
        <f>'DADOS INICIAIS'!D3</f>
        <v>Pregão DRF/JUN nº 10/2023</v>
      </c>
      <c r="F3" s="728"/>
      <c r="G3" s="728"/>
      <c r="H3" s="728"/>
      <c r="I3" s="728"/>
      <c r="J3" s="729"/>
      <c r="K3" s="723"/>
      <c r="L3" s="723"/>
    </row>
    <row r="4" spans="1:12" ht="21.75" customHeight="1" thickBot="1" x14ac:dyDescent="0.35">
      <c r="A4" s="270"/>
      <c r="B4" s="730" t="s">
        <v>4</v>
      </c>
      <c r="C4" s="731"/>
      <c r="D4" s="731"/>
      <c r="E4" s="738" t="str">
        <f xml:space="preserve"> 'DADOS INICIAIS'!D4</f>
        <v>XX/XX/2023</v>
      </c>
      <c r="F4" s="738"/>
      <c r="G4" s="738"/>
      <c r="H4" s="301" t="s">
        <v>5</v>
      </c>
      <c r="I4" s="732">
        <f>'DADOS INICIAIS'!H4</f>
        <v>0.375</v>
      </c>
      <c r="J4" s="733"/>
      <c r="K4" s="723"/>
      <c r="L4" s="723"/>
    </row>
    <row r="5" spans="1:12" ht="21.75" customHeight="1" thickBot="1" x14ac:dyDescent="0.35">
      <c r="A5" s="270"/>
      <c r="B5" s="734" t="s">
        <v>107</v>
      </c>
      <c r="C5" s="735"/>
      <c r="D5" s="735"/>
      <c r="E5" s="736" t="str">
        <f>'DADOS INICIAIS'!D1</f>
        <v>Manutenção Predial</v>
      </c>
      <c r="F5" s="736"/>
      <c r="G5" s="736"/>
      <c r="H5" s="736"/>
      <c r="I5" s="736"/>
      <c r="J5" s="737"/>
      <c r="K5" s="723"/>
      <c r="L5" s="723"/>
    </row>
    <row r="6" spans="1:12" ht="21.75" customHeight="1" thickBot="1" x14ac:dyDescent="0.35">
      <c r="A6" s="270"/>
      <c r="B6" s="272"/>
      <c r="C6" s="270"/>
      <c r="D6" s="270"/>
      <c r="E6" s="270"/>
      <c r="F6" s="270"/>
      <c r="G6" s="270"/>
      <c r="H6" s="270"/>
      <c r="I6" s="270"/>
      <c r="J6" s="270"/>
      <c r="K6" s="270"/>
      <c r="L6" s="335"/>
    </row>
    <row r="7" spans="1:12" ht="21.75" customHeight="1" thickBot="1" x14ac:dyDescent="0.35">
      <c r="A7" s="270"/>
      <c r="B7" s="337" t="s">
        <v>108</v>
      </c>
      <c r="C7" s="739" t="s">
        <v>109</v>
      </c>
      <c r="D7" s="739"/>
      <c r="E7" s="739"/>
      <c r="F7" s="740"/>
      <c r="G7" s="741" t="str">
        <f>'DADOS INICIAIS'!D6</f>
        <v>JUNDIAÍ</v>
      </c>
      <c r="H7" s="741"/>
      <c r="I7" s="741"/>
      <c r="J7" s="741"/>
      <c r="K7" s="741"/>
      <c r="L7" s="742"/>
    </row>
    <row r="8" spans="1:12" ht="21.75" customHeight="1" thickBot="1" x14ac:dyDescent="0.35">
      <c r="A8" s="270"/>
      <c r="B8" s="336" t="s">
        <v>108</v>
      </c>
      <c r="C8" s="303" t="s">
        <v>110</v>
      </c>
      <c r="D8" s="303"/>
      <c r="E8" s="303"/>
      <c r="F8" s="303"/>
      <c r="G8" s="751">
        <f>'DADOS INICIAIS'!D7</f>
        <v>12</v>
      </c>
      <c r="H8" s="751"/>
      <c r="I8" s="751"/>
      <c r="J8" s="751"/>
      <c r="K8" s="751"/>
      <c r="L8" s="752"/>
    </row>
    <row r="9" spans="1:12" ht="21.75" customHeight="1" thickBot="1" x14ac:dyDescent="0.35">
      <c r="A9" s="270"/>
      <c r="B9" s="291"/>
      <c r="C9" s="292"/>
      <c r="D9" s="292"/>
      <c r="E9" s="292"/>
      <c r="F9" s="292"/>
      <c r="G9" s="292"/>
      <c r="H9" s="292"/>
      <c r="I9" s="292"/>
      <c r="J9" s="292"/>
      <c r="K9" s="292"/>
      <c r="L9" s="293"/>
    </row>
    <row r="10" spans="1:12" ht="21.75" customHeight="1" x14ac:dyDescent="0.3">
      <c r="A10" s="270"/>
      <c r="B10" s="334" t="s">
        <v>108</v>
      </c>
      <c r="C10" s="759" t="s">
        <v>111</v>
      </c>
      <c r="D10" s="759"/>
      <c r="E10" s="759"/>
      <c r="F10" s="759"/>
      <c r="G10" s="759"/>
      <c r="H10" s="759"/>
      <c r="I10" s="759"/>
      <c r="J10" s="757" t="s">
        <v>112</v>
      </c>
      <c r="K10" s="757"/>
      <c r="L10" s="758"/>
    </row>
    <row r="11" spans="1:12" ht="21.75" customHeight="1" thickBot="1" x14ac:dyDescent="0.35">
      <c r="A11" s="270"/>
      <c r="B11" s="302" t="s">
        <v>108</v>
      </c>
      <c r="C11" s="303" t="s">
        <v>113</v>
      </c>
      <c r="D11" s="303"/>
      <c r="E11" s="303"/>
      <c r="F11" s="303"/>
      <c r="G11" s="303"/>
      <c r="H11" s="303"/>
      <c r="I11" s="303"/>
      <c r="J11" s="753">
        <v>1</v>
      </c>
      <c r="K11" s="753"/>
      <c r="L11" s="754"/>
    </row>
    <row r="12" spans="1:12" ht="21.75" customHeight="1" thickBot="1" x14ac:dyDescent="0.35">
      <c r="A12" s="270"/>
      <c r="B12" s="272"/>
      <c r="C12" s="270"/>
      <c r="D12" s="270"/>
      <c r="E12" s="270"/>
      <c r="F12" s="270"/>
      <c r="G12" s="270"/>
      <c r="H12" s="270"/>
      <c r="I12" s="270"/>
      <c r="J12" s="270"/>
      <c r="K12" s="270"/>
      <c r="L12" s="273"/>
    </row>
    <row r="13" spans="1:12" ht="21.75" customHeight="1" x14ac:dyDescent="0.3">
      <c r="A13" s="270"/>
      <c r="B13" s="743" t="s">
        <v>114</v>
      </c>
      <c r="C13" s="744"/>
      <c r="D13" s="744"/>
      <c r="E13" s="744"/>
      <c r="F13" s="744"/>
      <c r="G13" s="744"/>
      <c r="H13" s="744"/>
      <c r="I13" s="744"/>
      <c r="J13" s="744"/>
      <c r="K13" s="744"/>
      <c r="L13" s="745"/>
    </row>
    <row r="14" spans="1:12" ht="21.75" customHeight="1" x14ac:dyDescent="0.3">
      <c r="A14" s="270"/>
      <c r="B14" s="304">
        <v>1</v>
      </c>
      <c r="C14" s="294" t="s">
        <v>115</v>
      </c>
      <c r="D14" s="294"/>
      <c r="E14" s="294"/>
      <c r="F14" s="294"/>
      <c r="G14" s="294"/>
      <c r="H14" s="294"/>
      <c r="I14" s="294"/>
      <c r="J14" s="294"/>
      <c r="K14" s="294"/>
      <c r="L14" s="305">
        <f>'DADOS INICIAIS'!H16</f>
        <v>2405.06</v>
      </c>
    </row>
    <row r="15" spans="1:12" ht="21.75" customHeight="1" x14ac:dyDescent="0.3">
      <c r="A15" s="270"/>
      <c r="B15" s="306">
        <v>2</v>
      </c>
      <c r="C15" s="307" t="s">
        <v>116</v>
      </c>
      <c r="D15" s="307"/>
      <c r="E15" s="307"/>
      <c r="F15" s="307"/>
      <c r="G15" s="307"/>
      <c r="H15" s="307"/>
      <c r="I15" s="307"/>
      <c r="J15" s="307"/>
      <c r="K15" s="307"/>
      <c r="L15" s="308" t="str">
        <f>'DADOS INICIAIS'!H17</f>
        <v>Oficial Manutenção</v>
      </c>
    </row>
    <row r="16" spans="1:12" ht="21.75" customHeight="1" x14ac:dyDescent="0.3">
      <c r="A16" s="270"/>
      <c r="B16" s="309">
        <v>3</v>
      </c>
      <c r="C16" s="310" t="s">
        <v>117</v>
      </c>
      <c r="D16" s="310"/>
      <c r="E16" s="310"/>
      <c r="F16" s="310"/>
      <c r="G16" s="310"/>
      <c r="H16" s="310"/>
      <c r="I16" s="310"/>
      <c r="J16" s="310"/>
      <c r="K16" s="310"/>
      <c r="L16" s="311" t="str">
        <f>'DADOS INICIAIS'!H18</f>
        <v>maio</v>
      </c>
    </row>
    <row r="17" spans="1:14" ht="21.75" customHeight="1" thickBot="1" x14ac:dyDescent="0.35">
      <c r="A17" s="270"/>
      <c r="B17" s="312">
        <v>4</v>
      </c>
      <c r="C17" s="746" t="s">
        <v>118</v>
      </c>
      <c r="D17" s="746"/>
      <c r="E17" s="746"/>
      <c r="F17" s="746"/>
      <c r="G17" s="746"/>
      <c r="H17" s="746"/>
      <c r="I17" s="746"/>
      <c r="J17" s="746"/>
      <c r="K17" s="747"/>
      <c r="L17" s="313" t="str">
        <f>'DADOS INICIAIS'!H15</f>
        <v>5143-25</v>
      </c>
    </row>
    <row r="18" spans="1:14" ht="21.75" customHeight="1" thickBot="1" x14ac:dyDescent="0.35">
      <c r="A18" s="270"/>
      <c r="B18" s="274"/>
      <c r="C18" s="270"/>
      <c r="D18" s="270"/>
      <c r="E18" s="270"/>
      <c r="F18" s="270"/>
      <c r="G18" s="270"/>
      <c r="H18" s="270"/>
      <c r="I18" s="270"/>
      <c r="J18" s="270"/>
      <c r="K18" s="270"/>
      <c r="L18" s="275"/>
    </row>
    <row r="19" spans="1:14" ht="21.75" customHeight="1" x14ac:dyDescent="0.3">
      <c r="A19" s="270"/>
      <c r="B19" s="748" t="s">
        <v>119</v>
      </c>
      <c r="C19" s="749"/>
      <c r="D19" s="749"/>
      <c r="E19" s="749"/>
      <c r="F19" s="749"/>
      <c r="G19" s="749"/>
      <c r="H19" s="749"/>
      <c r="I19" s="749"/>
      <c r="J19" s="749"/>
      <c r="K19" s="749"/>
      <c r="L19" s="314" t="s">
        <v>72</v>
      </c>
    </row>
    <row r="20" spans="1:14" ht="21.75" customHeight="1" x14ac:dyDescent="0.3">
      <c r="A20" s="270"/>
      <c r="B20" s="304" t="s">
        <v>120</v>
      </c>
      <c r="C20" s="294" t="s">
        <v>121</v>
      </c>
      <c r="D20" s="294"/>
      <c r="E20" s="294"/>
      <c r="F20" s="294"/>
      <c r="G20" s="294"/>
      <c r="H20" s="294"/>
      <c r="I20" s="294"/>
      <c r="J20" s="294"/>
      <c r="K20" s="295"/>
      <c r="L20" s="305">
        <f>'DADOS INICIAIS'!H19</f>
        <v>2405.06</v>
      </c>
    </row>
    <row r="21" spans="1:14" ht="21.75" customHeight="1" x14ac:dyDescent="0.3">
      <c r="A21" s="270"/>
      <c r="B21" s="306" t="s">
        <v>122</v>
      </c>
      <c r="C21" s="310" t="s">
        <v>30</v>
      </c>
      <c r="D21" s="310"/>
      <c r="E21" s="310"/>
      <c r="F21" s="315" t="s">
        <v>123</v>
      </c>
      <c r="G21" s="315"/>
      <c r="H21" s="310"/>
      <c r="I21" s="315" t="s">
        <v>124</v>
      </c>
      <c r="J21" s="316"/>
      <c r="K21" s="296">
        <f>'DADOS INICIAIS'!H20</f>
        <v>0.3</v>
      </c>
      <c r="L21" s="317">
        <f>L20*K21</f>
        <v>721.51799999999992</v>
      </c>
    </row>
    <row r="22" spans="1:14" ht="21.75" customHeight="1" x14ac:dyDescent="0.3">
      <c r="A22" s="270"/>
      <c r="B22" s="309" t="s">
        <v>125</v>
      </c>
      <c r="C22" s="755" t="s">
        <v>126</v>
      </c>
      <c r="D22" s="756"/>
      <c r="E22" s="310"/>
      <c r="F22" s="315" t="s">
        <v>127</v>
      </c>
      <c r="G22" s="315"/>
      <c r="H22" s="310"/>
      <c r="I22" s="310"/>
      <c r="J22" s="310"/>
      <c r="K22" s="297">
        <v>0</v>
      </c>
      <c r="L22" s="333">
        <f>L20*K22</f>
        <v>0</v>
      </c>
    </row>
    <row r="23" spans="1:14" ht="21.75" customHeight="1" x14ac:dyDescent="0.3">
      <c r="A23" s="270"/>
      <c r="B23" s="306" t="s">
        <v>130</v>
      </c>
      <c r="C23" s="750" t="s">
        <v>131</v>
      </c>
      <c r="D23" s="750"/>
      <c r="E23" s="750"/>
      <c r="F23" s="750"/>
      <c r="G23" s="750"/>
      <c r="H23" s="750"/>
      <c r="I23" s="750"/>
      <c r="J23" s="750"/>
      <c r="K23" s="750"/>
      <c r="L23" s="318"/>
    </row>
    <row r="24" spans="1:14" ht="21.75" customHeight="1" x14ac:dyDescent="0.3">
      <c r="A24" s="270"/>
      <c r="B24" s="306" t="s">
        <v>132</v>
      </c>
      <c r="C24" s="750" t="s">
        <v>116</v>
      </c>
      <c r="D24" s="750"/>
      <c r="E24" s="750"/>
      <c r="F24" s="750"/>
      <c r="G24" s="750"/>
      <c r="H24" s="750"/>
      <c r="I24" s="750"/>
      <c r="J24" s="750"/>
      <c r="K24" s="750"/>
      <c r="L24" s="308" t="str">
        <f>L15</f>
        <v>Oficial Manutenção</v>
      </c>
    </row>
    <row r="25" spans="1:14" ht="21.75" customHeight="1" x14ac:dyDescent="0.3">
      <c r="A25" s="270"/>
      <c r="B25" s="306" t="s">
        <v>133</v>
      </c>
      <c r="C25" s="750" t="s">
        <v>134</v>
      </c>
      <c r="D25" s="750"/>
      <c r="E25" s="750"/>
      <c r="F25" s="750"/>
      <c r="G25" s="750"/>
      <c r="H25" s="750"/>
      <c r="I25" s="750"/>
      <c r="J25" s="750"/>
      <c r="K25" s="750"/>
      <c r="L25" s="318"/>
    </row>
    <row r="26" spans="1:14" ht="21.75" customHeight="1" thickBot="1" x14ac:dyDescent="0.35">
      <c r="A26" s="270"/>
      <c r="B26" s="309" t="s">
        <v>135</v>
      </c>
      <c r="C26" s="756" t="s">
        <v>136</v>
      </c>
      <c r="D26" s="756"/>
      <c r="E26" s="756"/>
      <c r="F26" s="756"/>
      <c r="G26" s="756"/>
      <c r="H26" s="756"/>
      <c r="I26" s="756"/>
      <c r="J26" s="756"/>
      <c r="K26" s="756"/>
      <c r="L26" s="319"/>
    </row>
    <row r="27" spans="1:14" ht="21.75" customHeight="1" thickBot="1" x14ac:dyDescent="0.35">
      <c r="A27" s="270"/>
      <c r="B27" s="768" t="s">
        <v>162</v>
      </c>
      <c r="C27" s="769"/>
      <c r="D27" s="769"/>
      <c r="E27" s="769"/>
      <c r="F27" s="769"/>
      <c r="G27" s="769"/>
      <c r="H27" s="769"/>
      <c r="I27" s="769"/>
      <c r="J27" s="769"/>
      <c r="K27" s="769"/>
      <c r="L27" s="360">
        <f>SUM(L20:L26)</f>
        <v>3126.578</v>
      </c>
    </row>
    <row r="28" spans="1:14" ht="21.75" customHeight="1" thickBot="1" x14ac:dyDescent="0.35">
      <c r="A28" s="270"/>
      <c r="B28" s="760"/>
      <c r="C28" s="760"/>
      <c r="D28" s="760"/>
      <c r="E28" s="760"/>
      <c r="F28" s="760"/>
      <c r="G28" s="760"/>
      <c r="H28" s="760"/>
      <c r="I28" s="760"/>
      <c r="J28" s="760"/>
      <c r="K28" s="760"/>
      <c r="L28" s="760"/>
    </row>
    <row r="29" spans="1:14" ht="21.75" customHeight="1" x14ac:dyDescent="0.3">
      <c r="A29" s="270"/>
      <c r="B29" s="761" t="s">
        <v>138</v>
      </c>
      <c r="C29" s="762"/>
      <c r="D29" s="762"/>
      <c r="E29" s="762"/>
      <c r="F29" s="762"/>
      <c r="G29" s="762"/>
      <c r="H29" s="762"/>
      <c r="I29" s="762"/>
      <c r="J29" s="762"/>
      <c r="K29" s="762"/>
      <c r="L29" s="763"/>
    </row>
    <row r="30" spans="1:14" ht="21.75" customHeight="1" x14ac:dyDescent="0.3">
      <c r="A30" s="270"/>
      <c r="B30" s="764" t="s">
        <v>460</v>
      </c>
      <c r="C30" s="765"/>
      <c r="D30" s="765"/>
      <c r="E30" s="765"/>
      <c r="F30" s="765"/>
      <c r="G30" s="765"/>
      <c r="H30" s="765"/>
      <c r="I30" s="765"/>
      <c r="J30" s="765"/>
      <c r="K30" s="765"/>
      <c r="L30" s="766"/>
    </row>
    <row r="31" spans="1:14" ht="21.75" customHeight="1" x14ac:dyDescent="0.3">
      <c r="A31" s="270"/>
      <c r="B31" s="320" t="s">
        <v>120</v>
      </c>
      <c r="C31" s="767" t="s">
        <v>459</v>
      </c>
      <c r="D31" s="767"/>
      <c r="E31" s="767"/>
      <c r="F31" s="767"/>
      <c r="G31" s="767"/>
      <c r="H31" s="767"/>
      <c r="I31" s="767"/>
      <c r="J31" s="767"/>
      <c r="K31" s="321">
        <f>1/12</f>
        <v>8.3333333333333329E-2</v>
      </c>
      <c r="L31" s="322">
        <f>L27*K31</f>
        <v>260.54816666666665</v>
      </c>
    </row>
    <row r="32" spans="1:14" ht="21.75" customHeight="1" x14ac:dyDescent="0.3">
      <c r="A32" s="270"/>
      <c r="B32" s="320" t="s">
        <v>122</v>
      </c>
      <c r="C32" s="767" t="s">
        <v>141</v>
      </c>
      <c r="D32" s="767"/>
      <c r="E32" s="767"/>
      <c r="F32" s="767"/>
      <c r="G32" s="767"/>
      <c r="H32" s="767"/>
      <c r="I32" s="767"/>
      <c r="J32" s="767"/>
      <c r="K32" s="321">
        <f>1/12/3</f>
        <v>2.7777777777777776E-2</v>
      </c>
      <c r="L32" s="322">
        <f>L27*K32</f>
        <v>86.849388888888882</v>
      </c>
      <c r="N32" s="343"/>
    </row>
    <row r="33" spans="1:12" ht="21.75" customHeight="1" thickBot="1" x14ac:dyDescent="0.35">
      <c r="A33" s="270"/>
      <c r="B33" s="774" t="s">
        <v>162</v>
      </c>
      <c r="C33" s="775"/>
      <c r="D33" s="775"/>
      <c r="E33" s="775"/>
      <c r="F33" s="775"/>
      <c r="G33" s="775"/>
      <c r="H33" s="775"/>
      <c r="I33" s="775"/>
      <c r="J33" s="776"/>
      <c r="K33" s="347">
        <f>SUM(K31:K32)</f>
        <v>0.1111111111111111</v>
      </c>
      <c r="L33" s="348">
        <f>L27*K33</f>
        <v>347.39755555555553</v>
      </c>
    </row>
    <row r="34" spans="1:12" ht="21.75" customHeight="1" thickBot="1" x14ac:dyDescent="0.35">
      <c r="A34" s="270"/>
      <c r="B34" s="760"/>
      <c r="C34" s="760"/>
      <c r="D34" s="760"/>
      <c r="E34" s="760"/>
      <c r="F34" s="760"/>
      <c r="G34" s="760"/>
      <c r="H34" s="760"/>
      <c r="I34" s="760"/>
      <c r="J34" s="760"/>
      <c r="K34" s="760"/>
      <c r="L34" s="760"/>
    </row>
    <row r="35" spans="1:12" ht="21.75" customHeight="1" x14ac:dyDescent="0.3">
      <c r="A35" s="270"/>
      <c r="B35" s="770" t="s">
        <v>143</v>
      </c>
      <c r="C35" s="771"/>
      <c r="D35" s="771"/>
      <c r="E35" s="771"/>
      <c r="F35" s="771"/>
      <c r="G35" s="771"/>
      <c r="H35" s="771"/>
      <c r="I35" s="771"/>
      <c r="J35" s="771"/>
      <c r="K35" s="771"/>
      <c r="L35" s="772"/>
    </row>
    <row r="36" spans="1:12" ht="21.75" customHeight="1" x14ac:dyDescent="0.3">
      <c r="A36" s="270"/>
      <c r="B36" s="777" t="s">
        <v>462</v>
      </c>
      <c r="C36" s="778"/>
      <c r="D36" s="778"/>
      <c r="E36" s="778"/>
      <c r="F36" s="778"/>
      <c r="G36" s="778"/>
      <c r="H36" s="778"/>
      <c r="I36" s="778"/>
      <c r="J36" s="778"/>
      <c r="K36" s="779"/>
      <c r="L36" s="361">
        <f>L27+L33</f>
        <v>3473.9755555555557</v>
      </c>
    </row>
    <row r="37" spans="1:12" ht="21.75" customHeight="1" x14ac:dyDescent="0.3">
      <c r="A37" s="270"/>
      <c r="B37" s="324" t="s">
        <v>120</v>
      </c>
      <c r="C37" s="773" t="s">
        <v>145</v>
      </c>
      <c r="D37" s="773"/>
      <c r="E37" s="773"/>
      <c r="F37" s="773"/>
      <c r="G37" s="773"/>
      <c r="H37" s="773"/>
      <c r="I37" s="773"/>
      <c r="J37" s="773"/>
      <c r="K37" s="298">
        <v>0.2</v>
      </c>
      <c r="L37" s="317">
        <f>K37*$L$36</f>
        <v>694.79511111111117</v>
      </c>
    </row>
    <row r="38" spans="1:12" ht="21.75" customHeight="1" x14ac:dyDescent="0.3">
      <c r="A38" s="270"/>
      <c r="B38" s="324" t="s">
        <v>122</v>
      </c>
      <c r="C38" s="773" t="s">
        <v>146</v>
      </c>
      <c r="D38" s="773"/>
      <c r="E38" s="773"/>
      <c r="F38" s="773"/>
      <c r="G38" s="773"/>
      <c r="H38" s="773"/>
      <c r="I38" s="773"/>
      <c r="J38" s="773"/>
      <c r="K38" s="298">
        <v>1.4999999999999999E-2</v>
      </c>
      <c r="L38" s="317">
        <f t="shared" ref="L38:L44" si="0">K38*$L$36</f>
        <v>52.109633333333335</v>
      </c>
    </row>
    <row r="39" spans="1:12" ht="21.75" customHeight="1" x14ac:dyDescent="0.3">
      <c r="A39" s="270"/>
      <c r="B39" s="324" t="s">
        <v>125</v>
      </c>
      <c r="C39" s="773" t="s">
        <v>147</v>
      </c>
      <c r="D39" s="773"/>
      <c r="E39" s="773"/>
      <c r="F39" s="773"/>
      <c r="G39" s="773"/>
      <c r="H39" s="773"/>
      <c r="I39" s="773"/>
      <c r="J39" s="773"/>
      <c r="K39" s="298">
        <v>0.01</v>
      </c>
      <c r="L39" s="317">
        <f t="shared" si="0"/>
        <v>34.739755555555561</v>
      </c>
    </row>
    <row r="40" spans="1:12" ht="21.75" customHeight="1" x14ac:dyDescent="0.3">
      <c r="A40" s="270"/>
      <c r="B40" s="324" t="s">
        <v>130</v>
      </c>
      <c r="C40" s="773" t="s">
        <v>148</v>
      </c>
      <c r="D40" s="773"/>
      <c r="E40" s="773"/>
      <c r="F40" s="773"/>
      <c r="G40" s="773"/>
      <c r="H40" s="773"/>
      <c r="I40" s="773"/>
      <c r="J40" s="773"/>
      <c r="K40" s="298">
        <v>2E-3</v>
      </c>
      <c r="L40" s="317">
        <f t="shared" si="0"/>
        <v>6.9479511111111112</v>
      </c>
    </row>
    <row r="41" spans="1:12" ht="21.75" customHeight="1" x14ac:dyDescent="0.3">
      <c r="A41" s="270"/>
      <c r="B41" s="324" t="s">
        <v>132</v>
      </c>
      <c r="C41" s="773" t="s">
        <v>149</v>
      </c>
      <c r="D41" s="773"/>
      <c r="E41" s="773"/>
      <c r="F41" s="773"/>
      <c r="G41" s="773"/>
      <c r="H41" s="773"/>
      <c r="I41" s="773"/>
      <c r="J41" s="773"/>
      <c r="K41" s="298">
        <v>2.5000000000000001E-2</v>
      </c>
      <c r="L41" s="317">
        <f t="shared" si="0"/>
        <v>86.849388888888896</v>
      </c>
    </row>
    <row r="42" spans="1:12" ht="21.75" customHeight="1" x14ac:dyDescent="0.3">
      <c r="A42" s="270"/>
      <c r="B42" s="324" t="s">
        <v>133</v>
      </c>
      <c r="C42" s="773" t="s">
        <v>150</v>
      </c>
      <c r="D42" s="773"/>
      <c r="E42" s="773"/>
      <c r="F42" s="773"/>
      <c r="G42" s="773"/>
      <c r="H42" s="773"/>
      <c r="I42" s="773"/>
      <c r="J42" s="773"/>
      <c r="K42" s="298">
        <v>0.08</v>
      </c>
      <c r="L42" s="317">
        <f t="shared" si="0"/>
        <v>277.91804444444449</v>
      </c>
    </row>
    <row r="43" spans="1:12" ht="21.75" customHeight="1" x14ac:dyDescent="0.3">
      <c r="A43" s="270"/>
      <c r="B43" s="324" t="s">
        <v>135</v>
      </c>
      <c r="C43" s="773" t="s">
        <v>151</v>
      </c>
      <c r="D43" s="773"/>
      <c r="E43" s="773"/>
      <c r="F43" s="773"/>
      <c r="G43" s="299">
        <f>'DADOS INICIAIS'!H89</f>
        <v>0.03</v>
      </c>
      <c r="H43" s="323" t="s">
        <v>152</v>
      </c>
      <c r="I43" s="780">
        <f>'DADOS INICIAIS'!H90</f>
        <v>1</v>
      </c>
      <c r="J43" s="780"/>
      <c r="K43" s="298">
        <f>G43*I43</f>
        <v>0.03</v>
      </c>
      <c r="L43" s="317">
        <f t="shared" si="0"/>
        <v>104.21926666666667</v>
      </c>
    </row>
    <row r="44" spans="1:12" ht="21.75" customHeight="1" thickBot="1" x14ac:dyDescent="0.35">
      <c r="A44" s="270"/>
      <c r="B44" s="345" t="s">
        <v>153</v>
      </c>
      <c r="C44" s="787" t="s">
        <v>154</v>
      </c>
      <c r="D44" s="788"/>
      <c r="E44" s="788"/>
      <c r="F44" s="788"/>
      <c r="G44" s="788"/>
      <c r="H44" s="788"/>
      <c r="I44" s="788"/>
      <c r="J44" s="789"/>
      <c r="K44" s="346">
        <v>6.0000000000000001E-3</v>
      </c>
      <c r="L44" s="333">
        <f t="shared" si="0"/>
        <v>20.843853333333335</v>
      </c>
    </row>
    <row r="45" spans="1:12" ht="21.75" customHeight="1" thickBot="1" x14ac:dyDescent="0.35">
      <c r="A45" s="270"/>
      <c r="B45" s="790" t="s">
        <v>162</v>
      </c>
      <c r="C45" s="791"/>
      <c r="D45" s="791"/>
      <c r="E45" s="791"/>
      <c r="F45" s="791"/>
      <c r="G45" s="791"/>
      <c r="H45" s="791"/>
      <c r="I45" s="791"/>
      <c r="J45" s="792"/>
      <c r="K45" s="349">
        <f>SUM(K37:K44)</f>
        <v>0.3680000000000001</v>
      </c>
      <c r="L45" s="350">
        <f>SUM(L37:L44)</f>
        <v>1278.4230044444446</v>
      </c>
    </row>
    <row r="46" spans="1:12" ht="21.75" customHeight="1" thickBot="1" x14ac:dyDescent="0.35">
      <c r="A46" s="270"/>
      <c r="B46" s="760"/>
      <c r="C46" s="760"/>
      <c r="D46" s="760"/>
      <c r="E46" s="760"/>
      <c r="F46" s="760"/>
      <c r="G46" s="760"/>
      <c r="H46" s="760"/>
      <c r="I46" s="760"/>
      <c r="J46" s="760"/>
      <c r="K46" s="760"/>
      <c r="L46" s="760"/>
    </row>
    <row r="47" spans="1:12" ht="21.75" customHeight="1" thickBot="1" x14ac:dyDescent="0.35">
      <c r="A47" s="270"/>
      <c r="B47" s="781" t="s">
        <v>155</v>
      </c>
      <c r="C47" s="782"/>
      <c r="D47" s="782"/>
      <c r="E47" s="782"/>
      <c r="F47" s="782"/>
      <c r="G47" s="782"/>
      <c r="H47" s="782"/>
      <c r="I47" s="782"/>
      <c r="J47" s="782"/>
      <c r="K47" s="782"/>
      <c r="L47" s="783"/>
    </row>
    <row r="48" spans="1:12" ht="21.75" customHeight="1" x14ac:dyDescent="0.3">
      <c r="A48" s="270"/>
      <c r="B48" s="304" t="s">
        <v>120</v>
      </c>
      <c r="C48" s="784" t="s">
        <v>156</v>
      </c>
      <c r="D48" s="784"/>
      <c r="E48" s="784"/>
      <c r="F48" s="784"/>
      <c r="G48" s="784"/>
      <c r="H48" s="784"/>
      <c r="I48" s="784"/>
      <c r="J48" s="784"/>
      <c r="K48" s="785"/>
      <c r="L48" s="344">
        <f>'DADOS INICIAIS'!H24</f>
        <v>94.68</v>
      </c>
    </row>
    <row r="49" spans="1:13" ht="21.75" customHeight="1" x14ac:dyDescent="0.3">
      <c r="A49" s="270"/>
      <c r="B49" s="306" t="s">
        <v>122</v>
      </c>
      <c r="C49" s="767" t="s">
        <v>157</v>
      </c>
      <c r="D49" s="767"/>
      <c r="E49" s="767"/>
      <c r="F49" s="767"/>
      <c r="G49" s="767"/>
      <c r="H49" s="767"/>
      <c r="I49" s="767"/>
      <c r="J49" s="767"/>
      <c r="K49" s="786"/>
      <c r="L49" s="325">
        <f>'DADOS INICIAIS'!H31</f>
        <v>595.04255099999989</v>
      </c>
    </row>
    <row r="50" spans="1:13" ht="21.75" customHeight="1" x14ac:dyDescent="0.3">
      <c r="A50" s="270"/>
      <c r="B50" s="306" t="s">
        <v>125</v>
      </c>
      <c r="C50" s="767" t="s">
        <v>37</v>
      </c>
      <c r="D50" s="767"/>
      <c r="E50" s="767"/>
      <c r="F50" s="767"/>
      <c r="G50" s="767"/>
      <c r="H50" s="767"/>
      <c r="I50" s="767"/>
      <c r="J50" s="767"/>
      <c r="K50" s="786"/>
      <c r="L50" s="325">
        <f>'DADOS INICIAIS'!H34</f>
        <v>0</v>
      </c>
    </row>
    <row r="51" spans="1:13" ht="21.75" customHeight="1" x14ac:dyDescent="0.3">
      <c r="A51" s="270"/>
      <c r="B51" s="306" t="s">
        <v>130</v>
      </c>
      <c r="C51" s="767" t="s">
        <v>158</v>
      </c>
      <c r="D51" s="767"/>
      <c r="E51" s="767"/>
      <c r="F51" s="767"/>
      <c r="G51" s="767"/>
      <c r="H51" s="767"/>
      <c r="I51" s="767"/>
      <c r="J51" s="767"/>
      <c r="K51" s="786"/>
      <c r="L51" s="325">
        <f>'DADOS INICIAIS'!H37</f>
        <v>388.92999999999995</v>
      </c>
    </row>
    <row r="52" spans="1:13" ht="21.75" customHeight="1" x14ac:dyDescent="0.3">
      <c r="A52" s="270"/>
      <c r="B52" s="306" t="s">
        <v>132</v>
      </c>
      <c r="C52" s="767" t="s">
        <v>159</v>
      </c>
      <c r="D52" s="767"/>
      <c r="E52" s="767"/>
      <c r="F52" s="767"/>
      <c r="G52" s="767"/>
      <c r="H52" s="767"/>
      <c r="I52" s="767"/>
      <c r="J52" s="767"/>
      <c r="K52" s="786"/>
      <c r="L52" s="325">
        <f>'DADOS INICIAIS'!H40</f>
        <v>0</v>
      </c>
    </row>
    <row r="53" spans="1:13" ht="21.75" customHeight="1" x14ac:dyDescent="0.3">
      <c r="A53" s="270"/>
      <c r="B53" s="306" t="s">
        <v>133</v>
      </c>
      <c r="C53" s="767" t="s">
        <v>160</v>
      </c>
      <c r="D53" s="767"/>
      <c r="E53" s="767"/>
      <c r="F53" s="767"/>
      <c r="G53" s="767"/>
      <c r="H53" s="767"/>
      <c r="I53" s="767"/>
      <c r="J53" s="767"/>
      <c r="K53" s="786"/>
      <c r="L53" s="325">
        <f>'DADOS INICIAIS'!H28</f>
        <v>9.48</v>
      </c>
    </row>
    <row r="54" spans="1:13" ht="21.75" customHeight="1" x14ac:dyDescent="0.3">
      <c r="A54" s="270"/>
      <c r="B54" s="306" t="s">
        <v>135</v>
      </c>
      <c r="C54" s="767" t="str">
        <f>'DADOS INICIAIS'!C46</f>
        <v>especificar</v>
      </c>
      <c r="D54" s="767"/>
      <c r="E54" s="767"/>
      <c r="F54" s="767"/>
      <c r="G54" s="767"/>
      <c r="H54" s="767"/>
      <c r="I54" s="767"/>
      <c r="J54" s="767"/>
      <c r="K54" s="786"/>
      <c r="L54" s="325">
        <f>'DADOS INICIAIS'!H46</f>
        <v>0</v>
      </c>
    </row>
    <row r="55" spans="1:13" ht="21.75" customHeight="1" x14ac:dyDescent="0.3">
      <c r="A55" s="270"/>
      <c r="B55" s="306" t="s">
        <v>153</v>
      </c>
      <c r="C55" s="767" t="str">
        <f>'DADOS INICIAIS'!C49</f>
        <v>especificar</v>
      </c>
      <c r="D55" s="767"/>
      <c r="E55" s="767"/>
      <c r="F55" s="767"/>
      <c r="G55" s="767"/>
      <c r="H55" s="767"/>
      <c r="I55" s="767"/>
      <c r="J55" s="767"/>
      <c r="K55" s="786"/>
      <c r="L55" s="325">
        <f>'DADOS INICIAIS'!H49</f>
        <v>0</v>
      </c>
    </row>
    <row r="56" spans="1:13" ht="21.75" customHeight="1" thickBot="1" x14ac:dyDescent="0.35">
      <c r="A56" s="270"/>
      <c r="B56" s="309" t="s">
        <v>161</v>
      </c>
      <c r="C56" s="803"/>
      <c r="D56" s="803"/>
      <c r="E56" s="803"/>
      <c r="F56" s="803"/>
      <c r="G56" s="803"/>
      <c r="H56" s="803"/>
      <c r="I56" s="803"/>
      <c r="J56" s="803"/>
      <c r="K56" s="804"/>
      <c r="L56" s="326"/>
    </row>
    <row r="57" spans="1:13" ht="21.75" customHeight="1" thickBot="1" x14ac:dyDescent="0.35">
      <c r="A57" s="270"/>
      <c r="B57" s="327"/>
      <c r="C57" s="805" t="s">
        <v>162</v>
      </c>
      <c r="D57" s="805"/>
      <c r="E57" s="805"/>
      <c r="F57" s="805"/>
      <c r="G57" s="805"/>
      <c r="H57" s="805"/>
      <c r="I57" s="805"/>
      <c r="J57" s="805"/>
      <c r="K57" s="805"/>
      <c r="L57" s="351">
        <f>SUM(L48:L56)</f>
        <v>1088.1325509999997</v>
      </c>
    </row>
    <row r="58" spans="1:13" ht="21.75" customHeight="1" thickBot="1" x14ac:dyDescent="0.35">
      <c r="A58" s="270"/>
      <c r="B58" s="760"/>
      <c r="C58" s="760"/>
      <c r="D58" s="760"/>
      <c r="E58" s="760"/>
      <c r="F58" s="760"/>
      <c r="G58" s="760"/>
      <c r="H58" s="760"/>
      <c r="I58" s="760"/>
      <c r="J58" s="760"/>
      <c r="K58" s="760"/>
      <c r="L58" s="760"/>
    </row>
    <row r="59" spans="1:13" ht="21.75" customHeight="1" thickBot="1" x14ac:dyDescent="0.35">
      <c r="A59" s="270"/>
      <c r="B59" s="796" t="s">
        <v>463</v>
      </c>
      <c r="C59" s="797"/>
      <c r="D59" s="797"/>
      <c r="E59" s="797"/>
      <c r="F59" s="797"/>
      <c r="G59" s="797"/>
      <c r="H59" s="797"/>
      <c r="I59" s="797"/>
      <c r="J59" s="797"/>
      <c r="K59" s="797"/>
      <c r="L59" s="798"/>
    </row>
    <row r="60" spans="1:13" ht="21.75" customHeight="1" x14ac:dyDescent="0.3">
      <c r="A60" s="270"/>
      <c r="B60" s="328" t="s">
        <v>164</v>
      </c>
      <c r="C60" s="806" t="s">
        <v>461</v>
      </c>
      <c r="D60" s="807"/>
      <c r="E60" s="807"/>
      <c r="F60" s="807"/>
      <c r="G60" s="807"/>
      <c r="H60" s="807"/>
      <c r="I60" s="807"/>
      <c r="J60" s="808"/>
      <c r="K60" s="377">
        <f>K33</f>
        <v>0.1111111111111111</v>
      </c>
      <c r="L60" s="344">
        <f>L33</f>
        <v>347.39755555555553</v>
      </c>
    </row>
    <row r="61" spans="1:13" ht="21.75" customHeight="1" x14ac:dyDescent="0.3">
      <c r="A61" s="270"/>
      <c r="B61" s="328" t="s">
        <v>166</v>
      </c>
      <c r="C61" s="809" t="s">
        <v>167</v>
      </c>
      <c r="D61" s="810"/>
      <c r="E61" s="810"/>
      <c r="F61" s="810"/>
      <c r="G61" s="810"/>
      <c r="H61" s="810"/>
      <c r="I61" s="810"/>
      <c r="J61" s="811"/>
      <c r="K61" s="300">
        <f>K45</f>
        <v>0.3680000000000001</v>
      </c>
      <c r="L61" s="325">
        <f>L45</f>
        <v>1278.4230044444446</v>
      </c>
    </row>
    <row r="62" spans="1:13" ht="21.75" customHeight="1" thickBot="1" x14ac:dyDescent="0.35">
      <c r="A62" s="270"/>
      <c r="B62" s="329" t="s">
        <v>168</v>
      </c>
      <c r="C62" s="793" t="s">
        <v>169</v>
      </c>
      <c r="D62" s="794"/>
      <c r="E62" s="794"/>
      <c r="F62" s="794"/>
      <c r="G62" s="794"/>
      <c r="H62" s="794"/>
      <c r="I62" s="794"/>
      <c r="J62" s="794"/>
      <c r="K62" s="795"/>
      <c r="L62" s="330">
        <f>L57</f>
        <v>1088.1325509999997</v>
      </c>
    </row>
    <row r="63" spans="1:13" ht="21.75" customHeight="1" thickBot="1" x14ac:dyDescent="0.35">
      <c r="A63" s="270"/>
      <c r="B63" s="331"/>
      <c r="C63" s="769" t="s">
        <v>162</v>
      </c>
      <c r="D63" s="769"/>
      <c r="E63" s="769"/>
      <c r="F63" s="769"/>
      <c r="G63" s="769"/>
      <c r="H63" s="769"/>
      <c r="I63" s="769"/>
      <c r="J63" s="769"/>
      <c r="K63" s="769"/>
      <c r="L63" s="362">
        <f>L60+L61+L62</f>
        <v>2713.9531109999998</v>
      </c>
    </row>
    <row r="64" spans="1:13" s="278" customFormat="1" ht="21.75" customHeight="1" thickBot="1" x14ac:dyDescent="0.35">
      <c r="A64" s="277"/>
      <c r="B64" s="760"/>
      <c r="C64" s="760"/>
      <c r="D64" s="760"/>
      <c r="E64" s="760"/>
      <c r="F64" s="760"/>
      <c r="G64" s="760"/>
      <c r="H64" s="760"/>
      <c r="I64" s="760"/>
      <c r="J64" s="760"/>
      <c r="K64" s="760"/>
      <c r="L64" s="760"/>
      <c r="M64" s="339"/>
    </row>
    <row r="65" spans="1:16" ht="21.75" customHeight="1" thickBot="1" x14ac:dyDescent="0.35">
      <c r="A65" s="277"/>
      <c r="B65" s="796" t="s">
        <v>170</v>
      </c>
      <c r="C65" s="797"/>
      <c r="D65" s="797"/>
      <c r="E65" s="797"/>
      <c r="F65" s="797"/>
      <c r="G65" s="797"/>
      <c r="H65" s="797"/>
      <c r="I65" s="797"/>
      <c r="J65" s="797"/>
      <c r="K65" s="797"/>
      <c r="L65" s="798"/>
      <c r="N65" s="359"/>
    </row>
    <row r="66" spans="1:16" ht="21.75" customHeight="1" x14ac:dyDescent="0.25">
      <c r="A66" s="277"/>
      <c r="B66" s="304" t="s">
        <v>120</v>
      </c>
      <c r="C66" s="352" t="s">
        <v>171</v>
      </c>
      <c r="D66" s="353"/>
      <c r="E66" s="354">
        <v>30</v>
      </c>
      <c r="F66" s="354" t="s">
        <v>172</v>
      </c>
      <c r="G66" s="799" t="s">
        <v>173</v>
      </c>
      <c r="H66" s="799"/>
      <c r="I66" s="800">
        <v>0.05</v>
      </c>
      <c r="J66" s="800"/>
      <c r="K66" s="356"/>
      <c r="L66" s="357">
        <f>((L27+L33)/12)*I66</f>
        <v>14.474898148148149</v>
      </c>
      <c r="M66" s="359" t="s">
        <v>468</v>
      </c>
      <c r="P66" s="355"/>
    </row>
    <row r="67" spans="1:16" ht="21.75" customHeight="1" x14ac:dyDescent="0.25">
      <c r="A67" s="277"/>
      <c r="B67" s="306" t="s">
        <v>122</v>
      </c>
      <c r="C67" s="786" t="s">
        <v>174</v>
      </c>
      <c r="D67" s="801"/>
      <c r="E67" s="801"/>
      <c r="F67" s="801"/>
      <c r="G67" s="801"/>
      <c r="H67" s="801"/>
      <c r="I67" s="801"/>
      <c r="J67" s="801"/>
      <c r="K67" s="802"/>
      <c r="L67" s="358">
        <f>L66*0.08</f>
        <v>1.1579918518518519</v>
      </c>
      <c r="M67" s="359" t="s">
        <v>469</v>
      </c>
      <c r="N67" s="359"/>
    </row>
    <row r="68" spans="1:16" ht="21.75" customHeight="1" x14ac:dyDescent="0.25">
      <c r="A68" s="277"/>
      <c r="B68" s="306" t="s">
        <v>130</v>
      </c>
      <c r="C68" s="786" t="s">
        <v>176</v>
      </c>
      <c r="D68" s="801"/>
      <c r="E68" s="801"/>
      <c r="F68" s="801"/>
      <c r="G68" s="801"/>
      <c r="H68" s="801"/>
      <c r="I68" s="801"/>
      <c r="J68" s="801"/>
      <c r="K68" s="802"/>
      <c r="L68" s="358">
        <f>((L27+L33)/30*7)/12</f>
        <v>67.54952469135803</v>
      </c>
      <c r="M68" s="359" t="s">
        <v>465</v>
      </c>
      <c r="N68" s="359"/>
    </row>
    <row r="69" spans="1:16" ht="21.75" customHeight="1" x14ac:dyDescent="0.25">
      <c r="A69" s="277"/>
      <c r="B69" s="306" t="s">
        <v>132</v>
      </c>
      <c r="C69" s="786" t="s">
        <v>466</v>
      </c>
      <c r="D69" s="801"/>
      <c r="E69" s="801"/>
      <c r="F69" s="801"/>
      <c r="G69" s="801"/>
      <c r="H69" s="801"/>
      <c r="I69" s="801"/>
      <c r="J69" s="801"/>
      <c r="K69" s="802"/>
      <c r="L69" s="358">
        <f>L27*0.04</f>
        <v>125.06312</v>
      </c>
      <c r="M69" s="359" t="s">
        <v>467</v>
      </c>
      <c r="N69" s="359"/>
    </row>
    <row r="70" spans="1:16" ht="21.75" customHeight="1" thickBot="1" x14ac:dyDescent="0.3">
      <c r="A70" s="277"/>
      <c r="B70" s="306" t="s">
        <v>133</v>
      </c>
      <c r="C70" s="786" t="s">
        <v>464</v>
      </c>
      <c r="D70" s="801"/>
      <c r="E70" s="801"/>
      <c r="F70" s="801"/>
      <c r="G70" s="801"/>
      <c r="H70" s="801"/>
      <c r="I70" s="801"/>
      <c r="J70" s="801"/>
      <c r="K70" s="802"/>
      <c r="L70" s="358">
        <f>L68*K45</f>
        <v>24.858225086419761</v>
      </c>
      <c r="M70" s="359" t="s">
        <v>470</v>
      </c>
      <c r="N70" s="359"/>
    </row>
    <row r="71" spans="1:16" ht="21.75" customHeight="1" thickBot="1" x14ac:dyDescent="0.35">
      <c r="A71" s="277"/>
      <c r="B71" s="790" t="s">
        <v>162</v>
      </c>
      <c r="C71" s="791"/>
      <c r="D71" s="791"/>
      <c r="E71" s="791"/>
      <c r="F71" s="791"/>
      <c r="G71" s="791"/>
      <c r="H71" s="791"/>
      <c r="I71" s="791"/>
      <c r="J71" s="791"/>
      <c r="K71" s="815"/>
      <c r="L71" s="376">
        <f>SUM(L66:L70)</f>
        <v>233.10375977777781</v>
      </c>
    </row>
    <row r="72" spans="1:16" ht="21.75" customHeight="1" thickBot="1" x14ac:dyDescent="0.35">
      <c r="A72" s="277"/>
      <c r="B72" s="760"/>
      <c r="C72" s="760"/>
      <c r="D72" s="760"/>
      <c r="E72" s="760"/>
      <c r="F72" s="760"/>
      <c r="G72" s="760"/>
      <c r="H72" s="760"/>
      <c r="I72" s="760"/>
      <c r="J72" s="760"/>
      <c r="K72" s="760"/>
      <c r="L72" s="760"/>
    </row>
    <row r="73" spans="1:16" ht="21.75" customHeight="1" thickBot="1" x14ac:dyDescent="0.35">
      <c r="A73" s="277"/>
      <c r="B73" s="796" t="s">
        <v>180</v>
      </c>
      <c r="C73" s="797"/>
      <c r="D73" s="797"/>
      <c r="E73" s="797"/>
      <c r="F73" s="797"/>
      <c r="G73" s="797"/>
      <c r="H73" s="797"/>
      <c r="I73" s="797"/>
      <c r="J73" s="797"/>
      <c r="K73" s="797"/>
      <c r="L73" s="798"/>
    </row>
    <row r="74" spans="1:16" ht="21.75" customHeight="1" thickBot="1" x14ac:dyDescent="0.35">
      <c r="A74" s="277"/>
      <c r="B74" s="781" t="s">
        <v>181</v>
      </c>
      <c r="C74" s="782"/>
      <c r="D74" s="782"/>
      <c r="E74" s="782"/>
      <c r="F74" s="782"/>
      <c r="G74" s="782"/>
      <c r="H74" s="782"/>
      <c r="I74" s="782"/>
      <c r="J74" s="782"/>
      <c r="K74" s="782"/>
      <c r="L74" s="783"/>
    </row>
    <row r="75" spans="1:16" ht="21.75" customHeight="1" x14ac:dyDescent="0.3">
      <c r="A75" s="277"/>
      <c r="B75" s="366" t="s">
        <v>120</v>
      </c>
      <c r="C75" s="812" t="s">
        <v>182</v>
      </c>
      <c r="D75" s="812"/>
      <c r="E75" s="812"/>
      <c r="F75" s="812"/>
      <c r="G75" s="812"/>
      <c r="H75" s="812"/>
      <c r="I75" s="812"/>
      <c r="J75" s="813"/>
      <c r="K75" s="367">
        <v>0.121</v>
      </c>
      <c r="L75" s="368">
        <f t="shared" ref="L75:L81" si="1">K75*$L$27</f>
        <v>378.31593799999996</v>
      </c>
      <c r="M75" s="340"/>
    </row>
    <row r="76" spans="1:16" ht="21.75" customHeight="1" x14ac:dyDescent="0.3">
      <c r="A76" s="277"/>
      <c r="B76" s="306" t="s">
        <v>122</v>
      </c>
      <c r="C76" s="767" t="s">
        <v>183</v>
      </c>
      <c r="D76" s="767"/>
      <c r="E76" s="767"/>
      <c r="F76" s="332" t="s">
        <v>184</v>
      </c>
      <c r="G76" s="369">
        <v>5</v>
      </c>
      <c r="H76" s="814" t="s">
        <v>185</v>
      </c>
      <c r="I76" s="814"/>
      <c r="J76" s="370">
        <v>1</v>
      </c>
      <c r="K76" s="364">
        <f t="shared" ref="K76:K81" si="2">G76/360*J76</f>
        <v>1.3888888888888888E-2</v>
      </c>
      <c r="L76" s="325">
        <f t="shared" si="1"/>
        <v>43.424694444444441</v>
      </c>
    </row>
    <row r="77" spans="1:16" ht="21.75" customHeight="1" x14ac:dyDescent="0.3">
      <c r="A77" s="277"/>
      <c r="B77" s="306" t="s">
        <v>125</v>
      </c>
      <c r="C77" s="767" t="s">
        <v>186</v>
      </c>
      <c r="D77" s="767"/>
      <c r="E77" s="767"/>
      <c r="F77" s="332" t="s">
        <v>184</v>
      </c>
      <c r="G77" s="369">
        <v>5</v>
      </c>
      <c r="H77" s="814" t="s">
        <v>185</v>
      </c>
      <c r="I77" s="814"/>
      <c r="J77" s="370">
        <v>1</v>
      </c>
      <c r="K77" s="364">
        <f>G77/360*J77</f>
        <v>1.3888888888888888E-2</v>
      </c>
      <c r="L77" s="325">
        <f t="shared" si="1"/>
        <v>43.424694444444441</v>
      </c>
    </row>
    <row r="78" spans="1:16" ht="21.75" customHeight="1" x14ac:dyDescent="0.3">
      <c r="A78" s="277"/>
      <c r="B78" s="306" t="s">
        <v>130</v>
      </c>
      <c r="C78" s="767" t="s">
        <v>187</v>
      </c>
      <c r="D78" s="767"/>
      <c r="E78" s="767"/>
      <c r="F78" s="332" t="s">
        <v>184</v>
      </c>
      <c r="G78" s="369">
        <v>5</v>
      </c>
      <c r="H78" s="814" t="s">
        <v>185</v>
      </c>
      <c r="I78" s="814"/>
      <c r="J78" s="371">
        <v>1.4999999999999999E-2</v>
      </c>
      <c r="K78" s="364">
        <f t="shared" si="2"/>
        <v>2.0833333333333332E-4</v>
      </c>
      <c r="L78" s="325">
        <f t="shared" si="1"/>
        <v>0.65137041666666662</v>
      </c>
    </row>
    <row r="79" spans="1:16" ht="21.75" customHeight="1" x14ac:dyDescent="0.3">
      <c r="A79" s="277"/>
      <c r="B79" s="306" t="s">
        <v>132</v>
      </c>
      <c r="C79" s="767" t="s">
        <v>188</v>
      </c>
      <c r="D79" s="767"/>
      <c r="E79" s="767"/>
      <c r="F79" s="332" t="s">
        <v>184</v>
      </c>
      <c r="G79" s="369">
        <v>2</v>
      </c>
      <c r="H79" s="814" t="s">
        <v>185</v>
      </c>
      <c r="I79" s="814"/>
      <c r="J79" s="371">
        <v>0.01</v>
      </c>
      <c r="K79" s="364">
        <f t="shared" si="2"/>
        <v>5.5555555555555558E-5</v>
      </c>
      <c r="L79" s="325">
        <f t="shared" si="1"/>
        <v>0.17369877777777779</v>
      </c>
    </row>
    <row r="80" spans="1:16" ht="21.75" customHeight="1" x14ac:dyDescent="0.3">
      <c r="A80" s="277"/>
      <c r="B80" s="306" t="s">
        <v>133</v>
      </c>
      <c r="C80" s="767" t="s">
        <v>189</v>
      </c>
      <c r="D80" s="767"/>
      <c r="E80" s="767"/>
      <c r="F80" s="332" t="s">
        <v>184</v>
      </c>
      <c r="G80" s="369">
        <v>0</v>
      </c>
      <c r="H80" s="814" t="s">
        <v>185</v>
      </c>
      <c r="I80" s="814"/>
      <c r="J80" s="371">
        <v>0.02</v>
      </c>
      <c r="K80" s="364">
        <f t="shared" si="2"/>
        <v>0</v>
      </c>
      <c r="L80" s="325">
        <f t="shared" si="1"/>
        <v>0</v>
      </c>
    </row>
    <row r="81" spans="1:12" ht="21.75" customHeight="1" x14ac:dyDescent="0.3">
      <c r="A81" s="277"/>
      <c r="B81" s="306" t="s">
        <v>135</v>
      </c>
      <c r="C81" s="816" t="s">
        <v>136</v>
      </c>
      <c r="D81" s="816"/>
      <c r="E81" s="816"/>
      <c r="F81" s="332" t="s">
        <v>184</v>
      </c>
      <c r="G81" s="369"/>
      <c r="H81" s="814" t="s">
        <v>185</v>
      </c>
      <c r="I81" s="814"/>
      <c r="J81" s="372"/>
      <c r="K81" s="364">
        <f t="shared" si="2"/>
        <v>0</v>
      </c>
      <c r="L81" s="325">
        <f t="shared" si="1"/>
        <v>0</v>
      </c>
    </row>
    <row r="82" spans="1:12" ht="21.75" customHeight="1" thickBot="1" x14ac:dyDescent="0.35">
      <c r="A82" s="277"/>
      <c r="B82" s="309" t="s">
        <v>153</v>
      </c>
      <c r="C82" s="817" t="s">
        <v>190</v>
      </c>
      <c r="D82" s="817"/>
      <c r="E82" s="817"/>
      <c r="F82" s="817"/>
      <c r="G82" s="817"/>
      <c r="H82" s="817"/>
      <c r="I82" s="817"/>
      <c r="J82" s="818"/>
      <c r="K82" s="373">
        <f>SUM(K75:K81)*K45</f>
        <v>5.4847333333333352E-2</v>
      </c>
      <c r="L82" s="330">
        <f>SUM(L75:L81)*K45</f>
        <v>171.48446575866669</v>
      </c>
    </row>
    <row r="83" spans="1:12" ht="21.75" customHeight="1" thickBot="1" x14ac:dyDescent="0.35">
      <c r="A83" s="277"/>
      <c r="B83" s="819" t="s">
        <v>162</v>
      </c>
      <c r="C83" s="820"/>
      <c r="D83" s="820"/>
      <c r="E83" s="820"/>
      <c r="F83" s="820"/>
      <c r="G83" s="820"/>
      <c r="H83" s="820"/>
      <c r="I83" s="820"/>
      <c r="J83" s="821"/>
      <c r="K83" s="374">
        <f>SUM(K75:K82)</f>
        <v>0.20388900000000004</v>
      </c>
      <c r="L83" s="375">
        <f>SUM(L75:L82)</f>
        <v>637.47486184199988</v>
      </c>
    </row>
    <row r="84" spans="1:12" ht="21.75" customHeight="1" x14ac:dyDescent="0.3">
      <c r="A84" s="277"/>
      <c r="B84" s="760"/>
      <c r="C84" s="760"/>
      <c r="D84" s="760"/>
      <c r="E84" s="760"/>
      <c r="F84" s="760"/>
      <c r="G84" s="760"/>
      <c r="H84" s="760"/>
      <c r="I84" s="760"/>
      <c r="J84" s="760"/>
      <c r="K84" s="760"/>
      <c r="L84" s="760"/>
    </row>
    <row r="85" spans="1:12" ht="21.75" customHeight="1" x14ac:dyDescent="0.3">
      <c r="A85" s="277"/>
      <c r="B85" s="822" t="s">
        <v>471</v>
      </c>
      <c r="C85" s="822"/>
      <c r="D85" s="822"/>
      <c r="E85" s="822"/>
      <c r="F85" s="822"/>
      <c r="G85" s="822"/>
      <c r="H85" s="822"/>
      <c r="I85" s="822"/>
      <c r="J85" s="822"/>
      <c r="K85" s="822"/>
      <c r="L85" s="822"/>
    </row>
    <row r="86" spans="1:12" ht="21.75" customHeight="1" x14ac:dyDescent="0.3">
      <c r="A86" s="277"/>
      <c r="B86" s="363" t="s">
        <v>120</v>
      </c>
      <c r="C86" s="823" t="s">
        <v>192</v>
      </c>
      <c r="D86" s="823"/>
      <c r="E86" s="823"/>
      <c r="F86" s="823"/>
      <c r="G86" s="823"/>
      <c r="H86" s="823"/>
      <c r="I86" s="823"/>
      <c r="J86" s="823"/>
      <c r="K86" s="279"/>
      <c r="L86" s="419"/>
    </row>
    <row r="87" spans="1:12" ht="21.75" customHeight="1" thickBot="1" x14ac:dyDescent="0.35">
      <c r="A87" s="277"/>
      <c r="B87" s="363" t="s">
        <v>122</v>
      </c>
      <c r="C87" s="823" t="s">
        <v>193</v>
      </c>
      <c r="D87" s="823"/>
      <c r="E87" s="823"/>
      <c r="F87" s="823"/>
      <c r="G87" s="823"/>
      <c r="H87" s="823"/>
      <c r="I87" s="823"/>
      <c r="J87" s="823"/>
      <c r="K87" s="279">
        <f>K86*K36</f>
        <v>0</v>
      </c>
      <c r="L87" s="420"/>
    </row>
    <row r="88" spans="1:12" ht="21.75" customHeight="1" thickBot="1" x14ac:dyDescent="0.35">
      <c r="A88" s="277"/>
      <c r="B88" s="790" t="s">
        <v>162</v>
      </c>
      <c r="C88" s="791"/>
      <c r="D88" s="791"/>
      <c r="E88" s="791"/>
      <c r="F88" s="791"/>
      <c r="G88" s="791"/>
      <c r="H88" s="791"/>
      <c r="I88" s="791"/>
      <c r="J88" s="791"/>
      <c r="K88" s="791"/>
      <c r="L88" s="421">
        <f>SUM(L87+L86)</f>
        <v>0</v>
      </c>
    </row>
    <row r="89" spans="1:12" ht="21.75" customHeight="1" x14ac:dyDescent="0.3">
      <c r="A89" s="277"/>
      <c r="B89" s="760"/>
      <c r="C89" s="760"/>
      <c r="D89" s="760"/>
      <c r="E89" s="760"/>
      <c r="F89" s="760"/>
      <c r="G89" s="760"/>
      <c r="H89" s="760"/>
      <c r="I89" s="760"/>
      <c r="J89" s="760"/>
      <c r="K89" s="760"/>
      <c r="L89" s="760"/>
    </row>
    <row r="90" spans="1:12" ht="21.75" customHeight="1" x14ac:dyDescent="0.3">
      <c r="A90" s="277"/>
      <c r="B90" s="822" t="s">
        <v>194</v>
      </c>
      <c r="C90" s="822"/>
      <c r="D90" s="822"/>
      <c r="E90" s="822"/>
      <c r="F90" s="822"/>
      <c r="G90" s="822"/>
      <c r="H90" s="822"/>
      <c r="I90" s="822"/>
      <c r="J90" s="822"/>
      <c r="K90" s="822"/>
      <c r="L90" s="822"/>
    </row>
    <row r="91" spans="1:12" ht="21.75" customHeight="1" x14ac:dyDescent="0.3">
      <c r="A91" s="277"/>
      <c r="B91" s="363" t="s">
        <v>195</v>
      </c>
      <c r="C91" s="823" t="s">
        <v>196</v>
      </c>
      <c r="D91" s="823"/>
      <c r="E91" s="823"/>
      <c r="F91" s="823"/>
      <c r="G91" s="823"/>
      <c r="H91" s="823"/>
      <c r="I91" s="823"/>
      <c r="J91" s="823"/>
      <c r="K91" s="290"/>
      <c r="L91" s="422">
        <f>L83</f>
        <v>637.47486184199988</v>
      </c>
    </row>
    <row r="92" spans="1:12" ht="21.75" customHeight="1" thickBot="1" x14ac:dyDescent="0.35">
      <c r="A92" s="277"/>
      <c r="B92" s="363" t="s">
        <v>197</v>
      </c>
      <c r="C92" s="823" t="s">
        <v>198</v>
      </c>
      <c r="D92" s="823"/>
      <c r="E92" s="823"/>
      <c r="F92" s="823"/>
      <c r="G92" s="823"/>
      <c r="H92" s="823"/>
      <c r="I92" s="823"/>
      <c r="J92" s="823"/>
      <c r="K92" s="290"/>
      <c r="L92" s="423">
        <f>L88</f>
        <v>0</v>
      </c>
    </row>
    <row r="93" spans="1:12" ht="21.75" customHeight="1" thickBot="1" x14ac:dyDescent="0.35">
      <c r="A93" s="277"/>
      <c r="B93" s="790" t="s">
        <v>162</v>
      </c>
      <c r="C93" s="791" t="s">
        <v>162</v>
      </c>
      <c r="D93" s="791"/>
      <c r="E93" s="791"/>
      <c r="F93" s="791"/>
      <c r="G93" s="791"/>
      <c r="H93" s="791"/>
      <c r="I93" s="791"/>
      <c r="J93" s="791"/>
      <c r="K93" s="791"/>
      <c r="L93" s="421">
        <f>L91+L92</f>
        <v>637.47486184199988</v>
      </c>
    </row>
    <row r="94" spans="1:12" ht="21.75" customHeight="1" thickBot="1" x14ac:dyDescent="0.35">
      <c r="A94" s="277"/>
      <c r="B94" s="760"/>
      <c r="C94" s="760"/>
      <c r="D94" s="760"/>
      <c r="E94" s="760"/>
      <c r="F94" s="760"/>
      <c r="G94" s="760"/>
      <c r="H94" s="760"/>
      <c r="I94" s="760"/>
      <c r="J94" s="760"/>
      <c r="K94" s="760"/>
      <c r="L94" s="760"/>
    </row>
    <row r="95" spans="1:12" ht="21.75" customHeight="1" thickBot="1" x14ac:dyDescent="0.35">
      <c r="A95" s="270"/>
      <c r="B95" s="845" t="s">
        <v>199</v>
      </c>
      <c r="C95" s="846"/>
      <c r="D95" s="846"/>
      <c r="E95" s="846"/>
      <c r="F95" s="846"/>
      <c r="G95" s="846"/>
      <c r="H95" s="846"/>
      <c r="I95" s="846"/>
      <c r="J95" s="846"/>
      <c r="K95" s="846"/>
      <c r="L95" s="847"/>
    </row>
    <row r="96" spans="1:12" ht="21.75" customHeight="1" x14ac:dyDescent="0.3">
      <c r="A96" s="270"/>
      <c r="B96" s="424" t="s">
        <v>120</v>
      </c>
      <c r="C96" s="824" t="s">
        <v>201</v>
      </c>
      <c r="D96" s="824"/>
      <c r="E96" s="824"/>
      <c r="F96" s="824"/>
      <c r="G96" s="824"/>
      <c r="H96" s="824"/>
      <c r="I96" s="824"/>
      <c r="J96" s="824"/>
      <c r="K96" s="824"/>
      <c r="L96" s="344">
        <f>'DADOS INICIAIS'!H85</f>
        <v>102.16999999999999</v>
      </c>
    </row>
    <row r="97" spans="1:13" ht="21.75" customHeight="1" x14ac:dyDescent="0.3">
      <c r="A97" s="270"/>
      <c r="B97" s="425" t="s">
        <v>122</v>
      </c>
      <c r="C97" s="825" t="s">
        <v>202</v>
      </c>
      <c r="D97" s="825"/>
      <c r="E97" s="825"/>
      <c r="F97" s="825"/>
      <c r="G97" s="825"/>
      <c r="H97" s="825"/>
      <c r="I97" s="825"/>
      <c r="J97" s="825"/>
      <c r="K97" s="825"/>
      <c r="L97" s="325">
        <f>Equipamentos!E78</f>
        <v>286.60624999999999</v>
      </c>
    </row>
    <row r="98" spans="1:13" ht="21.75" customHeight="1" x14ac:dyDescent="0.3">
      <c r="A98" s="270"/>
      <c r="B98" s="826" t="s">
        <v>125</v>
      </c>
      <c r="C98" s="827" t="s">
        <v>136</v>
      </c>
      <c r="D98" s="827"/>
      <c r="E98" s="828"/>
      <c r="F98" s="828"/>
      <c r="G98" s="828"/>
      <c r="H98" s="828"/>
      <c r="I98" s="828"/>
      <c r="J98" s="828"/>
      <c r="K98" s="828"/>
      <c r="L98" s="427">
        <v>0</v>
      </c>
    </row>
    <row r="99" spans="1:13" ht="21.75" customHeight="1" thickBot="1" x14ac:dyDescent="0.35">
      <c r="A99" s="270"/>
      <c r="B99" s="826"/>
      <c r="C99" s="827"/>
      <c r="D99" s="827"/>
      <c r="E99" s="828" t="s">
        <v>203</v>
      </c>
      <c r="F99" s="828"/>
      <c r="G99" s="828"/>
      <c r="H99" s="828"/>
      <c r="I99" s="828"/>
      <c r="J99" s="828"/>
      <c r="K99" s="828"/>
      <c r="L99" s="427">
        <f>K99*L27</f>
        <v>0</v>
      </c>
    </row>
    <row r="100" spans="1:13" s="278" customFormat="1" ht="21.75" customHeight="1" thickBot="1" x14ac:dyDescent="0.35">
      <c r="A100" s="277"/>
      <c r="B100" s="790" t="s">
        <v>162</v>
      </c>
      <c r="C100" s="791"/>
      <c r="D100" s="791"/>
      <c r="E100" s="791"/>
      <c r="F100" s="791"/>
      <c r="G100" s="791"/>
      <c r="H100" s="791"/>
      <c r="I100" s="791"/>
      <c r="J100" s="791"/>
      <c r="K100" s="791"/>
      <c r="L100" s="421">
        <f>SUM(L96:L99)</f>
        <v>388.77625</v>
      </c>
      <c r="M100" s="339"/>
    </row>
    <row r="101" spans="1:13" s="278" customFormat="1" ht="21.75" customHeight="1" thickBot="1" x14ac:dyDescent="0.35">
      <c r="A101" s="277"/>
      <c r="B101" s="428"/>
      <c r="C101" s="429"/>
      <c r="D101" s="429"/>
      <c r="E101" s="429"/>
      <c r="F101" s="429"/>
      <c r="G101" s="429"/>
      <c r="H101" s="429"/>
      <c r="I101" s="429"/>
      <c r="J101" s="429"/>
      <c r="K101" s="429"/>
      <c r="L101" s="430"/>
      <c r="M101" s="339"/>
    </row>
    <row r="102" spans="1:13" ht="21.75" customHeight="1" thickBot="1" x14ac:dyDescent="0.35">
      <c r="A102" s="277"/>
      <c r="B102" s="796" t="s">
        <v>205</v>
      </c>
      <c r="C102" s="797"/>
      <c r="D102" s="797"/>
      <c r="E102" s="797"/>
      <c r="F102" s="797"/>
      <c r="G102" s="797"/>
      <c r="H102" s="797"/>
      <c r="I102" s="797"/>
      <c r="J102" s="797"/>
      <c r="K102" s="797"/>
      <c r="L102" s="798"/>
    </row>
    <row r="103" spans="1:13" ht="21.75" customHeight="1" x14ac:dyDescent="0.3">
      <c r="A103" s="277"/>
      <c r="B103" s="864" t="s">
        <v>206</v>
      </c>
      <c r="C103" s="865"/>
      <c r="D103" s="865"/>
      <c r="E103" s="865"/>
      <c r="F103" s="865"/>
      <c r="G103" s="865"/>
      <c r="H103" s="865"/>
      <c r="I103" s="865"/>
      <c r="J103" s="865"/>
      <c r="K103" s="865"/>
      <c r="L103" s="435" t="s">
        <v>200</v>
      </c>
    </row>
    <row r="104" spans="1:13" ht="21.75" customHeight="1" x14ac:dyDescent="0.3">
      <c r="A104" s="277"/>
      <c r="B104" s="431" t="s">
        <v>120</v>
      </c>
      <c r="C104" s="866" t="s">
        <v>119</v>
      </c>
      <c r="D104" s="866"/>
      <c r="E104" s="866"/>
      <c r="F104" s="866"/>
      <c r="G104" s="866"/>
      <c r="H104" s="866"/>
      <c r="I104" s="866"/>
      <c r="J104" s="866"/>
      <c r="K104" s="866"/>
      <c r="L104" s="325">
        <f>L27</f>
        <v>3126.578</v>
      </c>
    </row>
    <row r="105" spans="1:13" ht="21.75" customHeight="1" x14ac:dyDescent="0.3">
      <c r="A105" s="277"/>
      <c r="B105" s="431" t="s">
        <v>122</v>
      </c>
      <c r="C105" s="866" t="s">
        <v>207</v>
      </c>
      <c r="D105" s="866"/>
      <c r="E105" s="866"/>
      <c r="F105" s="866"/>
      <c r="G105" s="866"/>
      <c r="H105" s="866"/>
      <c r="I105" s="866"/>
      <c r="J105" s="866"/>
      <c r="K105" s="866"/>
      <c r="L105" s="325">
        <f>L63</f>
        <v>2713.9531109999998</v>
      </c>
    </row>
    <row r="106" spans="1:13" ht="21.75" customHeight="1" x14ac:dyDescent="0.3">
      <c r="A106" s="277"/>
      <c r="B106" s="431" t="s">
        <v>125</v>
      </c>
      <c r="C106" s="432" t="s">
        <v>170</v>
      </c>
      <c r="D106" s="307"/>
      <c r="E106" s="307"/>
      <c r="F106" s="307"/>
      <c r="G106" s="307"/>
      <c r="H106" s="307"/>
      <c r="I106" s="307"/>
      <c r="J106" s="307"/>
      <c r="K106" s="307"/>
      <c r="L106" s="325">
        <f>L71</f>
        <v>233.10375977777781</v>
      </c>
    </row>
    <row r="107" spans="1:13" ht="21.75" customHeight="1" x14ac:dyDescent="0.3">
      <c r="A107" s="277"/>
      <c r="B107" s="431" t="s">
        <v>130</v>
      </c>
      <c r="C107" s="432" t="s">
        <v>180</v>
      </c>
      <c r="D107" s="307"/>
      <c r="E107" s="307"/>
      <c r="F107" s="307"/>
      <c r="G107" s="307"/>
      <c r="H107" s="307"/>
      <c r="I107" s="307"/>
      <c r="J107" s="307"/>
      <c r="K107" s="307"/>
      <c r="L107" s="325">
        <f>L93</f>
        <v>637.47486184199988</v>
      </c>
    </row>
    <row r="108" spans="1:13" ht="21.75" customHeight="1" thickBot="1" x14ac:dyDescent="0.35">
      <c r="A108" s="277"/>
      <c r="B108" s="433" t="s">
        <v>132</v>
      </c>
      <c r="C108" s="434" t="s">
        <v>208</v>
      </c>
      <c r="D108" s="310"/>
      <c r="E108" s="310"/>
      <c r="F108" s="310"/>
      <c r="G108" s="310"/>
      <c r="H108" s="310"/>
      <c r="I108" s="310"/>
      <c r="J108" s="316"/>
      <c r="K108" s="316"/>
      <c r="L108" s="330">
        <f>L100</f>
        <v>388.77625</v>
      </c>
    </row>
    <row r="109" spans="1:13" ht="21.75" customHeight="1" thickBot="1" x14ac:dyDescent="0.35">
      <c r="A109" s="270"/>
      <c r="B109" s="790" t="s">
        <v>209</v>
      </c>
      <c r="C109" s="821"/>
      <c r="D109" s="821"/>
      <c r="E109" s="821"/>
      <c r="F109" s="821"/>
      <c r="G109" s="821"/>
      <c r="H109" s="821"/>
      <c r="I109" s="821"/>
      <c r="J109" s="821"/>
      <c r="K109" s="867"/>
      <c r="L109" s="442">
        <f>SUM(L104:L108)</f>
        <v>7099.8859826197777</v>
      </c>
    </row>
    <row r="110" spans="1:13" ht="21.75" customHeight="1" x14ac:dyDescent="0.3">
      <c r="A110" s="270"/>
      <c r="B110" s="868"/>
      <c r="C110" s="868"/>
      <c r="D110" s="868"/>
      <c r="E110" s="868"/>
      <c r="F110" s="868"/>
      <c r="G110" s="868"/>
      <c r="H110" s="868"/>
      <c r="I110" s="868"/>
      <c r="J110" s="868"/>
      <c r="K110" s="868"/>
      <c r="L110" s="868"/>
    </row>
    <row r="111" spans="1:13" ht="21.75" customHeight="1" x14ac:dyDescent="0.3">
      <c r="A111" s="270"/>
      <c r="B111" s="848" t="s">
        <v>210</v>
      </c>
      <c r="C111" s="849"/>
      <c r="D111" s="849"/>
      <c r="E111" s="849"/>
      <c r="F111" s="849"/>
      <c r="G111" s="849"/>
      <c r="H111" s="849"/>
      <c r="I111" s="849"/>
      <c r="J111" s="849"/>
      <c r="K111" s="849"/>
      <c r="L111" s="850"/>
    </row>
    <row r="112" spans="1:13" ht="21.75" customHeight="1" x14ac:dyDescent="0.3">
      <c r="A112" s="270"/>
      <c r="B112" s="417" t="s">
        <v>120</v>
      </c>
      <c r="C112" s="851" t="s">
        <v>211</v>
      </c>
      <c r="D112" s="852"/>
      <c r="E112" s="852"/>
      <c r="F112" s="852"/>
      <c r="G112" s="852"/>
      <c r="H112" s="852"/>
      <c r="I112" s="852"/>
      <c r="J112" s="853"/>
      <c r="K112" s="436">
        <f>'DADOS INICIAIS'!H91</f>
        <v>0.06</v>
      </c>
      <c r="L112" s="365">
        <f>L109*K112</f>
        <v>425.99315895718667</v>
      </c>
    </row>
    <row r="113" spans="1:13" ht="21.75" customHeight="1" x14ac:dyDescent="0.3">
      <c r="A113" s="270"/>
      <c r="B113" s="417" t="s">
        <v>122</v>
      </c>
      <c r="C113" s="851" t="s">
        <v>212</v>
      </c>
      <c r="D113" s="852"/>
      <c r="E113" s="852"/>
      <c r="F113" s="852"/>
      <c r="G113" s="852"/>
      <c r="H113" s="852"/>
      <c r="I113" s="852"/>
      <c r="J113" s="853"/>
      <c r="K113" s="436">
        <f>'DADOS INICIAIS'!H92</f>
        <v>6.7900000000000002E-2</v>
      </c>
      <c r="L113" s="365">
        <f>(L109+L112)*K113</f>
        <v>511.00719371307594</v>
      </c>
    </row>
    <row r="114" spans="1:13" ht="21.75" customHeight="1" x14ac:dyDescent="0.3">
      <c r="A114" s="270"/>
      <c r="B114" s="869" t="s">
        <v>125</v>
      </c>
      <c r="C114" s="854" t="s">
        <v>213</v>
      </c>
      <c r="D114" s="778"/>
      <c r="E114" s="778"/>
      <c r="F114" s="778"/>
      <c r="G114" s="778"/>
      <c r="H114" s="778"/>
      <c r="I114" s="779"/>
      <c r="J114" s="437" t="s">
        <v>60</v>
      </c>
      <c r="K114" s="870">
        <f>SUM(J115:J117)</f>
        <v>9.6500000000000002E-2</v>
      </c>
      <c r="L114" s="871">
        <f>K114*L121</f>
        <v>858.39461135084559</v>
      </c>
    </row>
    <row r="115" spans="1:13" ht="21.75" customHeight="1" x14ac:dyDescent="0.3">
      <c r="A115" s="270"/>
      <c r="B115" s="869"/>
      <c r="C115" s="855" t="s">
        <v>214</v>
      </c>
      <c r="D115" s="856"/>
      <c r="E115" s="856"/>
      <c r="F115" s="857"/>
      <c r="G115" s="861" t="s">
        <v>215</v>
      </c>
      <c r="H115" s="862"/>
      <c r="I115" s="863"/>
      <c r="J115" s="436">
        <f>'DADOS INICIAIS'!H96</f>
        <v>1.6500000000000001E-2</v>
      </c>
      <c r="K115" s="870"/>
      <c r="L115" s="871"/>
    </row>
    <row r="116" spans="1:13" ht="21.75" customHeight="1" x14ac:dyDescent="0.3">
      <c r="A116" s="270"/>
      <c r="B116" s="869"/>
      <c r="C116" s="858"/>
      <c r="D116" s="859"/>
      <c r="E116" s="859"/>
      <c r="F116" s="860"/>
      <c r="G116" s="861" t="s">
        <v>216</v>
      </c>
      <c r="H116" s="862"/>
      <c r="I116" s="863"/>
      <c r="J116" s="436">
        <f>'DADOS INICIAIS'!H97</f>
        <v>0.03</v>
      </c>
      <c r="K116" s="870"/>
      <c r="L116" s="871"/>
    </row>
    <row r="117" spans="1:13" ht="21.75" customHeight="1" x14ac:dyDescent="0.3">
      <c r="A117" s="270"/>
      <c r="B117" s="869"/>
      <c r="C117" s="861" t="s">
        <v>217</v>
      </c>
      <c r="D117" s="862"/>
      <c r="E117" s="862"/>
      <c r="F117" s="863"/>
      <c r="G117" s="861" t="s">
        <v>218</v>
      </c>
      <c r="H117" s="862"/>
      <c r="I117" s="863"/>
      <c r="J117" s="436">
        <f>'DADOS INICIAIS'!H98</f>
        <v>0.05</v>
      </c>
      <c r="K117" s="870"/>
      <c r="L117" s="871"/>
      <c r="M117" s="341"/>
    </row>
    <row r="118" spans="1:13" s="278" customFormat="1" ht="21.75" customHeight="1" x14ac:dyDescent="0.3">
      <c r="A118" s="277"/>
      <c r="B118" s="841" t="s">
        <v>219</v>
      </c>
      <c r="C118" s="841"/>
      <c r="D118" s="841"/>
      <c r="E118" s="841"/>
      <c r="F118" s="841"/>
      <c r="G118" s="841"/>
      <c r="H118" s="841"/>
      <c r="I118" s="841"/>
      <c r="J118" s="841"/>
      <c r="K118" s="841"/>
      <c r="L118" s="441">
        <f>SUM(L112:L117)</f>
        <v>1795.3949640211081</v>
      </c>
      <c r="M118" s="339"/>
    </row>
    <row r="119" spans="1:13" s="278" customFormat="1" ht="21.75" customHeight="1" x14ac:dyDescent="0.3">
      <c r="A119" s="277"/>
      <c r="B119" s="841" t="s">
        <v>220</v>
      </c>
      <c r="C119" s="841"/>
      <c r="D119" s="841"/>
      <c r="E119" s="841"/>
      <c r="F119" s="841"/>
      <c r="G119" s="841"/>
      <c r="H119" s="841"/>
      <c r="I119" s="841"/>
      <c r="J119" s="841"/>
      <c r="K119" s="841"/>
      <c r="L119" s="440">
        <f>(((1+K112)*(1+K113))/(1-K114))-1</f>
        <v>0.25287659103486448</v>
      </c>
      <c r="M119" s="339"/>
    </row>
    <row r="120" spans="1:13" ht="9.75" customHeight="1" thickBot="1" x14ac:dyDescent="0.35">
      <c r="A120" s="270"/>
      <c r="B120" s="272"/>
      <c r="C120" s="270"/>
      <c r="D120" s="270"/>
      <c r="E120" s="270"/>
      <c r="F120" s="270"/>
      <c r="G120" s="270"/>
      <c r="H120" s="270"/>
      <c r="I120" s="270"/>
      <c r="J120" s="270"/>
      <c r="K120" s="270"/>
      <c r="L120" s="273"/>
    </row>
    <row r="121" spans="1:13" ht="21.75" customHeight="1" thickBot="1" x14ac:dyDescent="0.35">
      <c r="A121" s="270"/>
      <c r="B121" s="842" t="s">
        <v>221</v>
      </c>
      <c r="C121" s="843"/>
      <c r="D121" s="843"/>
      <c r="E121" s="843"/>
      <c r="F121" s="843"/>
      <c r="G121" s="843"/>
      <c r="H121" s="843"/>
      <c r="I121" s="843"/>
      <c r="J121" s="843"/>
      <c r="K121" s="844"/>
      <c r="L121" s="443">
        <f>(L109+L112+L113)/(1-K114)</f>
        <v>8895.2809466408871</v>
      </c>
      <c r="M121" s="342"/>
    </row>
    <row r="122" spans="1:13" ht="10.5" customHeight="1" thickBot="1" x14ac:dyDescent="0.35">
      <c r="A122" s="270"/>
      <c r="B122" s="272"/>
      <c r="C122" s="270"/>
      <c r="D122" s="270"/>
      <c r="E122" s="270"/>
      <c r="F122" s="270"/>
      <c r="G122" s="270"/>
      <c r="H122" s="270"/>
      <c r="I122" s="270"/>
      <c r="J122" s="270"/>
      <c r="K122" s="270"/>
      <c r="L122" s="273"/>
    </row>
    <row r="123" spans="1:13" ht="37.799999999999997" customHeight="1" thickBot="1" x14ac:dyDescent="0.35">
      <c r="A123" s="270"/>
      <c r="B123" s="835" t="s">
        <v>222</v>
      </c>
      <c r="C123" s="836"/>
      <c r="D123" s="836"/>
      <c r="E123" s="836"/>
      <c r="F123" s="836"/>
      <c r="G123" s="836"/>
      <c r="H123" s="836"/>
      <c r="I123" s="836"/>
      <c r="J123" s="836"/>
      <c r="K123" s="836"/>
      <c r="L123" s="837"/>
    </row>
    <row r="124" spans="1:13" ht="77.400000000000006" customHeight="1" x14ac:dyDescent="0.3">
      <c r="A124" s="270"/>
      <c r="B124" s="838" t="s">
        <v>223</v>
      </c>
      <c r="C124" s="839"/>
      <c r="D124" s="839"/>
      <c r="E124" s="840" t="s">
        <v>224</v>
      </c>
      <c r="F124" s="840"/>
      <c r="G124" s="840" t="s">
        <v>225</v>
      </c>
      <c r="H124" s="840"/>
      <c r="I124" s="840" t="s">
        <v>226</v>
      </c>
      <c r="J124" s="840"/>
      <c r="K124" s="447" t="s">
        <v>227</v>
      </c>
      <c r="L124" s="448" t="s">
        <v>228</v>
      </c>
    </row>
    <row r="125" spans="1:13" ht="21.75" customHeight="1" thickBot="1" x14ac:dyDescent="0.35">
      <c r="A125" s="270"/>
      <c r="B125" s="829" t="s">
        <v>229</v>
      </c>
      <c r="C125" s="830"/>
      <c r="D125" s="830"/>
      <c r="E125" s="831">
        <f>L121</f>
        <v>8895.2809466408871</v>
      </c>
      <c r="F125" s="831"/>
      <c r="G125" s="832">
        <v>1</v>
      </c>
      <c r="H125" s="832"/>
      <c r="I125" s="831">
        <f>G125*E125</f>
        <v>8895.2809466408871</v>
      </c>
      <c r="J125" s="831"/>
      <c r="K125" s="444">
        <f>J11</f>
        <v>1</v>
      </c>
      <c r="L125" s="445">
        <f>ROUND(K125*I125,2)</f>
        <v>8895.2800000000007</v>
      </c>
    </row>
    <row r="126" spans="1:13" ht="21.75" customHeight="1" thickBot="1" x14ac:dyDescent="0.35">
      <c r="A126" s="270"/>
      <c r="B126" s="833" t="s">
        <v>230</v>
      </c>
      <c r="C126" s="834"/>
      <c r="D126" s="834"/>
      <c r="E126" s="834"/>
      <c r="F126" s="834"/>
      <c r="G126" s="834"/>
      <c r="H126" s="834"/>
      <c r="I126" s="834"/>
      <c r="J126" s="834"/>
      <c r="K126" s="834"/>
      <c r="L126" s="446">
        <f>L125</f>
        <v>8895.2800000000007</v>
      </c>
    </row>
    <row r="127" spans="1:13" ht="21.75" customHeight="1" x14ac:dyDescent="0.3">
      <c r="A127" s="270"/>
      <c r="B127" s="281"/>
      <c r="C127" s="281"/>
      <c r="D127" s="281"/>
      <c r="E127" s="281"/>
      <c r="F127" s="281"/>
      <c r="G127" s="281"/>
      <c r="H127" s="281"/>
      <c r="I127" s="281"/>
      <c r="J127" s="281"/>
      <c r="K127" s="281"/>
      <c r="L127" s="282"/>
    </row>
    <row r="128" spans="1:13" ht="21.75" customHeight="1" x14ac:dyDescent="0.3">
      <c r="A128" s="270"/>
      <c r="B128" s="281"/>
      <c r="C128" s="281"/>
      <c r="D128" s="281"/>
      <c r="E128" s="281"/>
      <c r="F128" s="281"/>
      <c r="G128" s="281"/>
      <c r="H128" s="281"/>
      <c r="I128" s="281"/>
      <c r="J128" s="281"/>
      <c r="K128" s="281"/>
      <c r="L128" s="282"/>
    </row>
    <row r="129" spans="1:12" ht="21.75" customHeight="1" x14ac:dyDescent="0.3">
      <c r="A129" s="270"/>
      <c r="B129" s="283"/>
      <c r="C129" s="283"/>
      <c r="D129" s="283"/>
      <c r="E129" s="283"/>
      <c r="F129" s="283"/>
      <c r="G129" s="283"/>
      <c r="H129" s="283"/>
      <c r="I129" s="283"/>
      <c r="J129" s="283"/>
      <c r="K129" s="283"/>
      <c r="L129" s="282"/>
    </row>
    <row r="130" spans="1:12" ht="21.75" customHeight="1" x14ac:dyDescent="0.3">
      <c r="A130" s="270"/>
      <c r="B130" s="281"/>
      <c r="C130" s="281"/>
      <c r="D130" s="281"/>
      <c r="E130" s="281"/>
      <c r="F130" s="281"/>
      <c r="G130" s="281"/>
      <c r="H130" s="281"/>
      <c r="I130" s="281"/>
      <c r="J130" s="281"/>
      <c r="K130" s="281"/>
      <c r="L130" s="282"/>
    </row>
    <row r="131" spans="1:12" ht="21.75" customHeight="1" x14ac:dyDescent="0.3">
      <c r="A131" s="270"/>
      <c r="B131" s="283"/>
      <c r="C131" s="283"/>
      <c r="D131" s="283"/>
      <c r="E131" s="283"/>
      <c r="F131" s="283"/>
      <c r="G131" s="283"/>
      <c r="H131" s="283"/>
      <c r="I131" s="283"/>
      <c r="J131" s="283"/>
      <c r="K131" s="283"/>
      <c r="L131" s="282"/>
    </row>
    <row r="132" spans="1:12" ht="12" customHeight="1" x14ac:dyDescent="0.3">
      <c r="A132" s="270"/>
      <c r="B132" s="272"/>
      <c r="C132" s="270"/>
      <c r="D132" s="270"/>
      <c r="E132" s="270"/>
      <c r="F132" s="270"/>
      <c r="G132" s="270"/>
      <c r="H132" s="270"/>
      <c r="I132" s="270"/>
      <c r="J132" s="270"/>
      <c r="K132" s="270"/>
      <c r="L132" s="273"/>
    </row>
    <row r="133" spans="1:12" ht="21.75" customHeight="1" x14ac:dyDescent="0.3"/>
    <row r="134" spans="1:12" ht="21.75" customHeight="1" x14ac:dyDescent="0.3"/>
    <row r="135" spans="1:12" ht="21.75" customHeight="1" x14ac:dyDescent="0.3"/>
    <row r="136" spans="1:12" ht="21.75" customHeight="1" x14ac:dyDescent="0.3"/>
    <row r="137" spans="1:12" ht="36.75" customHeight="1" x14ac:dyDescent="0.3"/>
  </sheetData>
  <sheetProtection selectLockedCells="1" selectUnlockedCells="1"/>
  <mergeCells count="140">
    <mergeCell ref="B118:K118"/>
    <mergeCell ref="B119:K119"/>
    <mergeCell ref="B121:K121"/>
    <mergeCell ref="B95:L95"/>
    <mergeCell ref="B100:K100"/>
    <mergeCell ref="B111:L111"/>
    <mergeCell ref="C112:J112"/>
    <mergeCell ref="C113:J113"/>
    <mergeCell ref="C114:I114"/>
    <mergeCell ref="C115:F116"/>
    <mergeCell ref="C117:F117"/>
    <mergeCell ref="G115:I115"/>
    <mergeCell ref="G116:I116"/>
    <mergeCell ref="G117:I117"/>
    <mergeCell ref="B102:L102"/>
    <mergeCell ref="B103:K103"/>
    <mergeCell ref="C104:K104"/>
    <mergeCell ref="C105:K105"/>
    <mergeCell ref="B109:K109"/>
    <mergeCell ref="B110:L110"/>
    <mergeCell ref="B114:B117"/>
    <mergeCell ref="K114:K117"/>
    <mergeCell ref="L114:L117"/>
    <mergeCell ref="B125:D125"/>
    <mergeCell ref="E125:F125"/>
    <mergeCell ref="G125:H125"/>
    <mergeCell ref="I125:J125"/>
    <mergeCell ref="B126:K126"/>
    <mergeCell ref="B123:L123"/>
    <mergeCell ref="B124:D124"/>
    <mergeCell ref="E124:F124"/>
    <mergeCell ref="G124:H124"/>
    <mergeCell ref="I124:J124"/>
    <mergeCell ref="C91:J91"/>
    <mergeCell ref="C92:J92"/>
    <mergeCell ref="B94:L94"/>
    <mergeCell ref="C96:K96"/>
    <mergeCell ref="C97:K97"/>
    <mergeCell ref="B98:B99"/>
    <mergeCell ref="C98:D99"/>
    <mergeCell ref="E98:K98"/>
    <mergeCell ref="E99:K99"/>
    <mergeCell ref="B93:K93"/>
    <mergeCell ref="C82:J82"/>
    <mergeCell ref="B83:J83"/>
    <mergeCell ref="B84:L84"/>
    <mergeCell ref="B85:L85"/>
    <mergeCell ref="C86:J86"/>
    <mergeCell ref="C87:J87"/>
    <mergeCell ref="B89:L89"/>
    <mergeCell ref="B90:L90"/>
    <mergeCell ref="B88:K88"/>
    <mergeCell ref="C77:E77"/>
    <mergeCell ref="H77:I77"/>
    <mergeCell ref="C78:E78"/>
    <mergeCell ref="H78:I78"/>
    <mergeCell ref="C79:E79"/>
    <mergeCell ref="H79:I79"/>
    <mergeCell ref="C80:E80"/>
    <mergeCell ref="H80:I80"/>
    <mergeCell ref="C81:E81"/>
    <mergeCell ref="H81:I81"/>
    <mergeCell ref="B72:L72"/>
    <mergeCell ref="B73:L73"/>
    <mergeCell ref="B74:L74"/>
    <mergeCell ref="C75:J75"/>
    <mergeCell ref="C76:E76"/>
    <mergeCell ref="H76:I76"/>
    <mergeCell ref="B71:K71"/>
    <mergeCell ref="C69:K69"/>
    <mergeCell ref="C70:K70"/>
    <mergeCell ref="C62:K62"/>
    <mergeCell ref="C63:K63"/>
    <mergeCell ref="B64:L64"/>
    <mergeCell ref="B65:L65"/>
    <mergeCell ref="G66:H66"/>
    <mergeCell ref="I66:J66"/>
    <mergeCell ref="C67:K67"/>
    <mergeCell ref="C68:K68"/>
    <mergeCell ref="C53:K53"/>
    <mergeCell ref="C54:K54"/>
    <mergeCell ref="C55:K55"/>
    <mergeCell ref="C56:K56"/>
    <mergeCell ref="C57:K57"/>
    <mergeCell ref="B58:L58"/>
    <mergeCell ref="B59:L59"/>
    <mergeCell ref="C60:J60"/>
    <mergeCell ref="C61:J61"/>
    <mergeCell ref="C43:F43"/>
    <mergeCell ref="I43:J43"/>
    <mergeCell ref="B46:L46"/>
    <mergeCell ref="B47:L47"/>
    <mergeCell ref="C48:K48"/>
    <mergeCell ref="C49:K49"/>
    <mergeCell ref="C50:K50"/>
    <mergeCell ref="C51:K51"/>
    <mergeCell ref="C52:K52"/>
    <mergeCell ref="C44:J44"/>
    <mergeCell ref="B45:J45"/>
    <mergeCell ref="B35:L35"/>
    <mergeCell ref="C37:J37"/>
    <mergeCell ref="C38:J38"/>
    <mergeCell ref="C39:J39"/>
    <mergeCell ref="C40:J40"/>
    <mergeCell ref="C41:J41"/>
    <mergeCell ref="C42:J42"/>
    <mergeCell ref="B33:J33"/>
    <mergeCell ref="B36:K36"/>
    <mergeCell ref="C25:K25"/>
    <mergeCell ref="C26:K26"/>
    <mergeCell ref="B28:L28"/>
    <mergeCell ref="B29:L29"/>
    <mergeCell ref="B30:L30"/>
    <mergeCell ref="C31:J31"/>
    <mergeCell ref="C32:J32"/>
    <mergeCell ref="B27:K27"/>
    <mergeCell ref="B34:L34"/>
    <mergeCell ref="C7:F7"/>
    <mergeCell ref="G7:L7"/>
    <mergeCell ref="B13:L13"/>
    <mergeCell ref="C17:K17"/>
    <mergeCell ref="B19:K19"/>
    <mergeCell ref="C23:K23"/>
    <mergeCell ref="C24:K24"/>
    <mergeCell ref="G8:L8"/>
    <mergeCell ref="J11:L11"/>
    <mergeCell ref="C22:D22"/>
    <mergeCell ref="J10:L10"/>
    <mergeCell ref="C10:I10"/>
    <mergeCell ref="B1:J1"/>
    <mergeCell ref="K1:L5"/>
    <mergeCell ref="B2:D2"/>
    <mergeCell ref="E2:J2"/>
    <mergeCell ref="B3:D3"/>
    <mergeCell ref="E3:J3"/>
    <mergeCell ref="B4:D4"/>
    <mergeCell ref="I4:J4"/>
    <mergeCell ref="B5:D5"/>
    <mergeCell ref="E5:J5"/>
    <mergeCell ref="E4:G4"/>
  </mergeCells>
  <printOptions horizontalCentered="1"/>
  <pageMargins left="0.47222222222222221" right="0.47222222222222221" top="0.39374999999999999" bottom="0.39374999999999999" header="0.51180555555555551" footer="0.51180555555555551"/>
  <pageSetup paperSize="9" scale="60" firstPageNumber="0"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3"/>
  <sheetViews>
    <sheetView topLeftCell="A19" workbookViewId="0">
      <selection activeCell="I12" sqref="I12:I13"/>
    </sheetView>
  </sheetViews>
  <sheetFormatPr defaultColWidth="12.88671875" defaultRowHeight="15.6" x14ac:dyDescent="0.3"/>
  <cols>
    <col min="1" max="1" width="14.5546875" style="110" customWidth="1"/>
    <col min="2" max="2" width="13.6640625" style="110" customWidth="1"/>
    <col min="3" max="8" width="12.88671875" style="110" customWidth="1"/>
    <col min="9" max="9" width="15.44140625" style="110" customWidth="1"/>
    <col min="10" max="16384" width="12.88671875" style="110"/>
  </cols>
  <sheetData>
    <row r="1" spans="1:9" ht="31.5" customHeight="1" x14ac:dyDescent="0.3">
      <c r="A1" s="872" t="s">
        <v>231</v>
      </c>
      <c r="B1" s="872"/>
      <c r="C1" s="872"/>
      <c r="D1" s="872"/>
      <c r="E1" s="872"/>
      <c r="F1" s="872"/>
      <c r="G1" s="872"/>
      <c r="H1" s="872"/>
      <c r="I1" s="111" t="s">
        <v>232</v>
      </c>
    </row>
    <row r="2" spans="1:9" ht="31.5" customHeight="1" x14ac:dyDescent="0.3">
      <c r="A2" s="873" t="s">
        <v>233</v>
      </c>
      <c r="B2" s="873"/>
      <c r="C2" s="873"/>
      <c r="D2" s="873"/>
      <c r="E2" s="873"/>
      <c r="F2" s="873"/>
      <c r="G2" s="873"/>
      <c r="H2" s="873"/>
      <c r="I2" s="112">
        <f>OFICIAL!L14</f>
        <v>2405.06</v>
      </c>
    </row>
    <row r="3" spans="1:9" ht="31.5" customHeight="1" x14ac:dyDescent="0.3">
      <c r="A3" s="874"/>
      <c r="B3" s="874"/>
      <c r="C3" s="874"/>
      <c r="D3" s="874"/>
      <c r="E3" s="874"/>
      <c r="F3" s="874"/>
      <c r="G3" s="874"/>
      <c r="H3" s="874"/>
      <c r="I3" s="874"/>
    </row>
    <row r="4" spans="1:9" ht="31.5" customHeight="1" x14ac:dyDescent="0.3">
      <c r="A4" s="872" t="s">
        <v>234</v>
      </c>
      <c r="B4" s="872"/>
      <c r="C4" s="872"/>
      <c r="D4" s="872"/>
      <c r="E4" s="872"/>
      <c r="F4" s="872"/>
      <c r="G4" s="872"/>
      <c r="H4" s="872"/>
      <c r="I4" s="872"/>
    </row>
    <row r="5" spans="1:9" ht="31.5" customHeight="1" x14ac:dyDescent="0.3">
      <c r="A5" s="874"/>
      <c r="B5" s="874"/>
      <c r="C5" s="874"/>
      <c r="D5" s="874"/>
      <c r="E5" s="874"/>
      <c r="F5" s="874"/>
      <c r="G5" s="874"/>
      <c r="H5" s="874"/>
      <c r="I5" s="874"/>
    </row>
    <row r="6" spans="1:9" ht="31.5" customHeight="1" x14ac:dyDescent="0.3">
      <c r="A6" s="875" t="s">
        <v>235</v>
      </c>
      <c r="B6" s="113" t="s">
        <v>236</v>
      </c>
      <c r="C6" s="114" t="s">
        <v>237</v>
      </c>
      <c r="D6" s="876" t="s">
        <v>238</v>
      </c>
      <c r="E6" s="876"/>
      <c r="F6" s="876" t="s">
        <v>239</v>
      </c>
      <c r="G6" s="876"/>
      <c r="H6" s="876"/>
      <c r="I6" s="115" t="s">
        <v>240</v>
      </c>
    </row>
    <row r="7" spans="1:9" ht="31.5" customHeight="1" x14ac:dyDescent="0.3">
      <c r="A7" s="875"/>
      <c r="B7" s="116">
        <v>1</v>
      </c>
      <c r="C7" s="117">
        <v>21.725999999999999</v>
      </c>
      <c r="D7" s="877">
        <f>'DADOS INICIAIS'!F32</f>
        <v>28.83</v>
      </c>
      <c r="E7" s="877"/>
      <c r="F7" s="878">
        <f>'DADOS INICIAIS'!F33</f>
        <v>31.318028999999996</v>
      </c>
      <c r="G7" s="878"/>
      <c r="H7" s="878"/>
      <c r="I7" s="120">
        <f>(C7*D7)-F7</f>
        <v>595.04255099999989</v>
      </c>
    </row>
    <row r="8" spans="1:9" ht="31.5" customHeight="1" x14ac:dyDescent="0.3">
      <c r="A8" s="874"/>
      <c r="B8" s="874"/>
      <c r="C8" s="874"/>
      <c r="D8" s="874"/>
      <c r="E8" s="874"/>
      <c r="F8" s="874"/>
      <c r="G8" s="874"/>
      <c r="H8" s="874"/>
      <c r="I8" s="874"/>
    </row>
    <row r="9" spans="1:9" ht="31.5" customHeight="1" x14ac:dyDescent="0.3">
      <c r="A9" s="879" t="s">
        <v>241</v>
      </c>
      <c r="B9" s="879"/>
      <c r="C9" s="879"/>
      <c r="D9" s="879"/>
      <c r="E9" s="879"/>
      <c r="F9" s="880" t="s">
        <v>242</v>
      </c>
      <c r="G9" s="880"/>
      <c r="H9" s="881" t="s">
        <v>243</v>
      </c>
      <c r="I9" s="881"/>
    </row>
    <row r="10" spans="1:9" ht="31.5" customHeight="1" x14ac:dyDescent="0.3">
      <c r="A10" s="879"/>
      <c r="B10" s="879"/>
      <c r="C10" s="879"/>
      <c r="D10" s="879"/>
      <c r="E10" s="879"/>
      <c r="F10" s="882">
        <f>'DADOS INICIAIS'!F38</f>
        <v>409.4</v>
      </c>
      <c r="G10" s="882"/>
      <c r="H10" s="883">
        <f>'DADOS INICIAIS'!H37</f>
        <v>388.92999999999995</v>
      </c>
      <c r="I10" s="883"/>
    </row>
    <row r="11" spans="1:9" ht="31.5" customHeight="1" x14ac:dyDescent="0.3">
      <c r="A11" s="884"/>
      <c r="B11" s="884"/>
      <c r="C11" s="884"/>
      <c r="D11" s="884"/>
      <c r="E11" s="884"/>
      <c r="F11" s="884"/>
      <c r="G11" s="884"/>
      <c r="H11" s="884"/>
      <c r="I11" s="884"/>
    </row>
    <row r="12" spans="1:9" ht="31.5" customHeight="1" x14ac:dyDescent="0.3">
      <c r="A12" s="885" t="s">
        <v>244</v>
      </c>
      <c r="B12" s="885"/>
      <c r="C12" s="885"/>
      <c r="D12" s="114" t="s">
        <v>245</v>
      </c>
      <c r="E12" s="114" t="s">
        <v>237</v>
      </c>
      <c r="F12" s="121" t="s">
        <v>246</v>
      </c>
      <c r="G12" s="114" t="s">
        <v>247</v>
      </c>
      <c r="H12" s="113" t="s">
        <v>239</v>
      </c>
      <c r="I12" s="886">
        <f>G13-H13</f>
        <v>94.682400000000001</v>
      </c>
    </row>
    <row r="13" spans="1:9" ht="31.5" customHeight="1" x14ac:dyDescent="0.3">
      <c r="A13" s="885"/>
      <c r="B13" s="885"/>
      <c r="C13" s="885"/>
      <c r="D13" s="122">
        <f>'DADOS INICIAIS'!H25</f>
        <v>2</v>
      </c>
      <c r="E13" s="117">
        <v>21.725999999999999</v>
      </c>
      <c r="F13" s="118">
        <f>'DADOS INICIAIS'!F26</f>
        <v>5.5</v>
      </c>
      <c r="G13" s="118">
        <f>D13*E13*F13</f>
        <v>238.98599999999999</v>
      </c>
      <c r="H13" s="118">
        <f>'DADOS INICIAIS'!H27</f>
        <v>144.30359999999999</v>
      </c>
      <c r="I13" s="886"/>
    </row>
    <row r="14" spans="1:9" ht="31.5" customHeight="1" x14ac:dyDescent="0.3">
      <c r="A14" s="874"/>
      <c r="B14" s="874"/>
      <c r="C14" s="874"/>
      <c r="D14" s="874"/>
      <c r="E14" s="874"/>
      <c r="F14" s="874"/>
      <c r="G14" s="874"/>
      <c r="H14" s="874"/>
      <c r="I14" s="874"/>
    </row>
    <row r="15" spans="1:9" ht="46.5" customHeight="1" x14ac:dyDescent="0.3">
      <c r="A15" s="887" t="s">
        <v>248</v>
      </c>
      <c r="B15" s="887"/>
      <c r="C15" s="887"/>
      <c r="D15" s="887"/>
      <c r="E15" s="123" t="s">
        <v>249</v>
      </c>
      <c r="F15" s="123" t="s">
        <v>250</v>
      </c>
      <c r="G15" s="123" t="s">
        <v>251</v>
      </c>
      <c r="H15" s="124" t="s">
        <v>252</v>
      </c>
      <c r="I15" s="125" t="s">
        <v>253</v>
      </c>
    </row>
    <row r="16" spans="1:9" ht="31.5" customHeight="1" x14ac:dyDescent="0.3">
      <c r="A16" s="887"/>
      <c r="B16" s="887"/>
      <c r="C16" s="887"/>
      <c r="D16" s="887"/>
      <c r="E16" s="118">
        <f>'DADOS INICIAIS'!D8</f>
        <v>1320</v>
      </c>
      <c r="F16" s="118">
        <f>'DADOS INICIAIS'!H40</f>
        <v>0</v>
      </c>
      <c r="G16" s="126">
        <v>1</v>
      </c>
      <c r="H16" s="127">
        <v>1</v>
      </c>
      <c r="I16" s="128">
        <f>ROUND(F16*G16*H16,2)</f>
        <v>0</v>
      </c>
    </row>
    <row r="17" spans="1:9" ht="31.5" customHeight="1" x14ac:dyDescent="0.3">
      <c r="A17" s="874"/>
      <c r="B17" s="874"/>
      <c r="C17" s="874"/>
      <c r="D17" s="874"/>
      <c r="E17" s="874"/>
      <c r="F17" s="874"/>
      <c r="G17" s="874"/>
      <c r="H17" s="874"/>
      <c r="I17" s="874"/>
    </row>
    <row r="18" spans="1:9" ht="40.5" customHeight="1" x14ac:dyDescent="0.3">
      <c r="A18" s="887" t="s">
        <v>254</v>
      </c>
      <c r="B18" s="887"/>
      <c r="C18" s="887"/>
      <c r="D18" s="113" t="s">
        <v>255</v>
      </c>
      <c r="E18" s="119">
        <f>'DADOS INICIAIS'!F29</f>
        <v>9.48</v>
      </c>
      <c r="F18" s="114" t="s">
        <v>256</v>
      </c>
      <c r="G18" s="118">
        <f>'DADOS INICIAIS'!F30</f>
        <v>0</v>
      </c>
      <c r="H18" s="121" t="s">
        <v>257</v>
      </c>
      <c r="I18" s="120">
        <f>E18-G18</f>
        <v>9.48</v>
      </c>
    </row>
    <row r="19" spans="1:9" ht="31.5" customHeight="1" x14ac:dyDescent="0.3">
      <c r="A19" s="874"/>
      <c r="B19" s="874"/>
      <c r="C19" s="874"/>
      <c r="D19" s="874"/>
      <c r="E19" s="874"/>
      <c r="F19" s="874"/>
      <c r="G19" s="874"/>
      <c r="H19" s="874"/>
      <c r="I19" s="874"/>
    </row>
    <row r="20" spans="1:9" ht="31.5" customHeight="1" x14ac:dyDescent="0.3">
      <c r="A20" s="888" t="str">
        <f>'DADOS INICIAIS'!C46</f>
        <v>especificar</v>
      </c>
      <c r="B20" s="888"/>
      <c r="C20" s="888"/>
      <c r="D20" s="888"/>
      <c r="E20" s="888"/>
      <c r="F20" s="880" t="s">
        <v>250</v>
      </c>
      <c r="G20" s="880"/>
      <c r="H20" s="880" t="s">
        <v>258</v>
      </c>
      <c r="I20" s="880"/>
    </row>
    <row r="21" spans="1:9" ht="31.5" customHeight="1" x14ac:dyDescent="0.3">
      <c r="A21" s="888"/>
      <c r="B21" s="888"/>
      <c r="C21" s="888"/>
      <c r="D21" s="888"/>
      <c r="E21" s="888"/>
      <c r="F21" s="889">
        <f>'DADOS INICIAIS'!H43</f>
        <v>0</v>
      </c>
      <c r="G21" s="889"/>
      <c r="H21" s="889">
        <f>F21</f>
        <v>0</v>
      </c>
      <c r="I21" s="889"/>
    </row>
    <row r="22" spans="1:9" ht="31.5" customHeight="1" x14ac:dyDescent="0.3">
      <c r="A22" s="890"/>
      <c r="B22" s="890"/>
      <c r="C22" s="890"/>
      <c r="D22" s="890"/>
      <c r="E22" s="890"/>
      <c r="F22" s="890"/>
      <c r="G22" s="890"/>
      <c r="H22" s="890"/>
      <c r="I22" s="890"/>
    </row>
    <row r="23" spans="1:9" ht="31.5" customHeight="1" x14ac:dyDescent="0.3">
      <c r="A23" s="888" t="str">
        <f>'DADOS INICIAIS'!C49</f>
        <v>especificar</v>
      </c>
      <c r="B23" s="888"/>
      <c r="C23" s="888"/>
      <c r="D23" s="888"/>
      <c r="E23" s="888"/>
      <c r="F23" s="880" t="s">
        <v>45</v>
      </c>
      <c r="G23" s="880"/>
      <c r="H23" s="880" t="s">
        <v>258</v>
      </c>
      <c r="I23" s="880"/>
    </row>
    <row r="24" spans="1:9" ht="31.5" customHeight="1" x14ac:dyDescent="0.3">
      <c r="A24" s="888"/>
      <c r="B24" s="888"/>
      <c r="C24" s="888"/>
      <c r="D24" s="888"/>
      <c r="E24" s="888"/>
      <c r="F24" s="889">
        <f>'DADOS INICIAIS'!H46</f>
        <v>0</v>
      </c>
      <c r="G24" s="889"/>
      <c r="H24" s="889">
        <f>F24</f>
        <v>0</v>
      </c>
      <c r="I24" s="889"/>
    </row>
    <row r="25" spans="1:9" ht="31.5" customHeight="1" x14ac:dyDescent="0.3">
      <c r="A25" s="891"/>
      <c r="B25" s="891"/>
      <c r="C25" s="891"/>
      <c r="D25" s="891"/>
      <c r="E25" s="891"/>
      <c r="F25" s="891"/>
      <c r="G25" s="891"/>
      <c r="H25" s="891"/>
      <c r="I25" s="891"/>
    </row>
    <row r="26" spans="1:9" ht="31.5" customHeight="1" x14ac:dyDescent="0.3">
      <c r="A26" s="879" t="s">
        <v>259</v>
      </c>
      <c r="B26" s="879"/>
      <c r="C26" s="879"/>
      <c r="D26" s="879"/>
      <c r="E26" s="879"/>
      <c r="F26" s="879"/>
      <c r="G26" s="879"/>
      <c r="H26" s="879"/>
      <c r="I26" s="879"/>
    </row>
    <row r="27" spans="1:9" ht="31.5" customHeight="1" x14ac:dyDescent="0.3">
      <c r="A27" s="892" t="s">
        <v>40</v>
      </c>
      <c r="B27" s="892"/>
      <c r="C27" s="892"/>
      <c r="D27" s="892"/>
      <c r="E27" s="129" t="s">
        <v>41</v>
      </c>
      <c r="F27" s="129" t="s">
        <v>260</v>
      </c>
      <c r="G27" s="130" t="s">
        <v>44</v>
      </c>
      <c r="H27" s="131" t="s">
        <v>261</v>
      </c>
      <c r="I27" s="132"/>
    </row>
    <row r="28" spans="1:9" ht="18.45" customHeight="1" x14ac:dyDescent="0.3">
      <c r="A28" s="893" t="s">
        <v>262</v>
      </c>
      <c r="B28" s="893"/>
      <c r="C28" s="893"/>
      <c r="D28" s="893"/>
      <c r="E28" s="133">
        <f>'DADOS INICIAIS'!E55</f>
        <v>21.1</v>
      </c>
      <c r="F28" s="4">
        <v>12</v>
      </c>
      <c r="G28" s="134">
        <f>'DADOS INICIAIS'!H55</f>
        <v>6</v>
      </c>
      <c r="H28" s="135">
        <f t="shared" ref="H28:H42" si="0">ROUND(E28*G28/F28,2)</f>
        <v>10.55</v>
      </c>
      <c r="I28" s="136"/>
    </row>
    <row r="29" spans="1:9" ht="18.45" customHeight="1" x14ac:dyDescent="0.3">
      <c r="A29" s="893" t="s">
        <v>263</v>
      </c>
      <c r="B29" s="893"/>
      <c r="C29" s="893"/>
      <c r="D29" s="893"/>
      <c r="E29" s="133">
        <f>'DADOS INICIAIS'!E57</f>
        <v>39</v>
      </c>
      <c r="F29" s="4">
        <v>12</v>
      </c>
      <c r="G29" s="134">
        <f>'DADOS INICIAIS'!H57</f>
        <v>2</v>
      </c>
      <c r="H29" s="135">
        <f t="shared" si="0"/>
        <v>6.5</v>
      </c>
      <c r="I29" s="136"/>
    </row>
    <row r="30" spans="1:9" ht="18.45" customHeight="1" x14ac:dyDescent="0.3">
      <c r="A30" s="893" t="s">
        <v>46</v>
      </c>
      <c r="B30" s="893"/>
      <c r="C30" s="893"/>
      <c r="D30" s="893"/>
      <c r="E30" s="133">
        <f>'DADOS INICIAIS'!E59</f>
        <v>172.07</v>
      </c>
      <c r="F30" s="4">
        <v>60</v>
      </c>
      <c r="G30" s="134">
        <f>'DADOS INICIAIS'!H59</f>
        <v>1</v>
      </c>
      <c r="H30" s="135">
        <f t="shared" si="0"/>
        <v>2.87</v>
      </c>
      <c r="I30" s="136"/>
    </row>
    <row r="31" spans="1:9" ht="18.45" customHeight="1" x14ac:dyDescent="0.3">
      <c r="A31" s="893" t="s">
        <v>47</v>
      </c>
      <c r="B31" s="893"/>
      <c r="C31" s="893"/>
      <c r="D31" s="893"/>
      <c r="E31" s="133">
        <f>'DADOS INICIAIS'!E61</f>
        <v>22.38</v>
      </c>
      <c r="F31" s="4">
        <v>12</v>
      </c>
      <c r="G31" s="134">
        <f>'DADOS INICIAIS'!H61</f>
        <v>1</v>
      </c>
      <c r="H31" s="135">
        <f t="shared" si="0"/>
        <v>1.87</v>
      </c>
      <c r="I31" s="136"/>
    </row>
    <row r="32" spans="1:9" ht="18.45" customHeight="1" x14ac:dyDescent="0.3">
      <c r="A32" s="894" t="s">
        <v>417</v>
      </c>
      <c r="B32" s="895"/>
      <c r="C32" s="895"/>
      <c r="D32" s="896"/>
      <c r="E32" s="133">
        <f>'DADOS INICIAIS'!E63</f>
        <v>362.93</v>
      </c>
      <c r="F32" s="4">
        <v>60</v>
      </c>
      <c r="G32" s="134">
        <v>1</v>
      </c>
      <c r="H32" s="135">
        <f t="shared" si="0"/>
        <v>6.05</v>
      </c>
      <c r="I32" s="136"/>
    </row>
    <row r="33" spans="1:9" ht="18.45" customHeight="1" x14ac:dyDescent="0.3">
      <c r="A33" s="894" t="s">
        <v>48</v>
      </c>
      <c r="B33" s="895"/>
      <c r="C33" s="895"/>
      <c r="D33" s="896"/>
      <c r="E33" s="133">
        <f>'DADOS INICIAIS'!E65</f>
        <v>17.670000000000002</v>
      </c>
      <c r="F33" s="4">
        <v>60</v>
      </c>
      <c r="G33" s="134">
        <f>'DADOS INICIAIS'!H65</f>
        <v>1</v>
      </c>
      <c r="H33" s="135">
        <f t="shared" si="0"/>
        <v>0.28999999999999998</v>
      </c>
      <c r="I33" s="136"/>
    </row>
    <row r="34" spans="1:9" ht="18.45" customHeight="1" x14ac:dyDescent="0.3">
      <c r="A34" s="897" t="s">
        <v>49</v>
      </c>
      <c r="B34" s="897"/>
      <c r="C34" s="897"/>
      <c r="D34" s="897"/>
      <c r="E34" s="133">
        <f>'DADOS INICIAIS'!E67</f>
        <v>118.66</v>
      </c>
      <c r="F34" s="4">
        <v>60</v>
      </c>
      <c r="G34" s="134">
        <f>'DADOS INICIAIS'!H67</f>
        <v>1</v>
      </c>
      <c r="H34" s="135">
        <f t="shared" si="0"/>
        <v>1.98</v>
      </c>
      <c r="I34" s="136"/>
    </row>
    <row r="35" spans="1:9" ht="18.45" customHeight="1" x14ac:dyDescent="0.3">
      <c r="A35" s="893" t="s">
        <v>50</v>
      </c>
      <c r="B35" s="893"/>
      <c r="C35" s="893"/>
      <c r="D35" s="893"/>
      <c r="E35" s="133">
        <f>'DADOS INICIAIS'!E69</f>
        <v>7.95</v>
      </c>
      <c r="F35" s="4">
        <v>12</v>
      </c>
      <c r="G35" s="134">
        <f>'DADOS INICIAIS'!H69</f>
        <v>1</v>
      </c>
      <c r="H35" s="135">
        <f t="shared" si="0"/>
        <v>0.66</v>
      </c>
    </row>
    <row r="36" spans="1:9" ht="18.45" customHeight="1" x14ac:dyDescent="0.3">
      <c r="A36" s="897" t="s">
        <v>51</v>
      </c>
      <c r="B36" s="897"/>
      <c r="C36" s="897"/>
      <c r="D36" s="897"/>
      <c r="E36" s="133">
        <f>'DADOS INICIAIS'!E71</f>
        <v>55.93</v>
      </c>
      <c r="F36" s="4">
        <v>12</v>
      </c>
      <c r="G36" s="134">
        <f>'DADOS INICIAIS'!H71</f>
        <v>5</v>
      </c>
      <c r="H36" s="135">
        <f t="shared" si="0"/>
        <v>23.3</v>
      </c>
    </row>
    <row r="37" spans="1:9" ht="18.45" customHeight="1" x14ac:dyDescent="0.3">
      <c r="A37" s="897" t="s">
        <v>52</v>
      </c>
      <c r="B37" s="897"/>
      <c r="C37" s="897"/>
      <c r="D37" s="897"/>
      <c r="E37" s="133">
        <f>'DADOS INICIAIS'!E73</f>
        <v>14.4</v>
      </c>
      <c r="F37" s="4">
        <v>12</v>
      </c>
      <c r="G37" s="134">
        <f>'DADOS INICIAIS'!H73</f>
        <v>5</v>
      </c>
      <c r="H37" s="135">
        <f t="shared" si="0"/>
        <v>6</v>
      </c>
    </row>
    <row r="38" spans="1:9" ht="18.45" customHeight="1" x14ac:dyDescent="0.3">
      <c r="A38" s="893" t="s">
        <v>53</v>
      </c>
      <c r="B38" s="893"/>
      <c r="C38" s="893"/>
      <c r="D38" s="893"/>
      <c r="E38" s="133">
        <f>'DADOS INICIAIS'!E75</f>
        <v>86.99</v>
      </c>
      <c r="F38" s="4">
        <v>12</v>
      </c>
      <c r="G38" s="134">
        <f>'DADOS INICIAIS'!H75</f>
        <v>1</v>
      </c>
      <c r="H38" s="135">
        <f t="shared" si="0"/>
        <v>7.25</v>
      </c>
    </row>
    <row r="39" spans="1:9" ht="18.45" customHeight="1" x14ac:dyDescent="0.3">
      <c r="A39" s="893" t="s">
        <v>54</v>
      </c>
      <c r="B39" s="893"/>
      <c r="C39" s="893"/>
      <c r="D39" s="893"/>
      <c r="E39" s="133">
        <f>'DADOS INICIAIS'!E77</f>
        <v>75.72</v>
      </c>
      <c r="F39" s="4">
        <v>12</v>
      </c>
      <c r="G39" s="134">
        <f>'DADOS INICIAIS'!H77</f>
        <v>1</v>
      </c>
      <c r="H39" s="135">
        <f t="shared" si="0"/>
        <v>6.31</v>
      </c>
    </row>
    <row r="40" spans="1:9" ht="18.45" customHeight="1" x14ac:dyDescent="0.3">
      <c r="A40" s="893" t="s">
        <v>264</v>
      </c>
      <c r="B40" s="893"/>
      <c r="C40" s="893"/>
      <c r="D40" s="893"/>
      <c r="E40" s="133">
        <f>'DADOS INICIAIS'!E79</f>
        <v>31.33</v>
      </c>
      <c r="F40" s="5">
        <v>60</v>
      </c>
      <c r="G40" s="134">
        <f>'DADOS INICIAIS'!H79</f>
        <v>1</v>
      </c>
      <c r="H40" s="135">
        <f t="shared" si="0"/>
        <v>0.52</v>
      </c>
    </row>
    <row r="41" spans="1:9" ht="18.45" customHeight="1" x14ac:dyDescent="0.3">
      <c r="A41" s="893" t="s">
        <v>56</v>
      </c>
      <c r="B41" s="893"/>
      <c r="C41" s="893"/>
      <c r="D41" s="893"/>
      <c r="E41" s="133">
        <f>'DADOS INICIAIS'!E81</f>
        <v>43.98</v>
      </c>
      <c r="F41" s="5">
        <v>12</v>
      </c>
      <c r="G41" s="134">
        <f>'DADOS INICIAIS'!H81</f>
        <v>1</v>
      </c>
      <c r="H41" s="135">
        <f t="shared" si="0"/>
        <v>3.67</v>
      </c>
    </row>
    <row r="42" spans="1:9" ht="18.45" customHeight="1" x14ac:dyDescent="0.3">
      <c r="A42" s="897" t="s">
        <v>57</v>
      </c>
      <c r="B42" s="897"/>
      <c r="C42" s="897"/>
      <c r="D42" s="897"/>
      <c r="E42" s="133">
        <f>'DADOS INICIAIS'!E83</f>
        <v>9.67</v>
      </c>
      <c r="F42" s="4">
        <v>60</v>
      </c>
      <c r="G42" s="134">
        <f>'DADOS INICIAIS'!H83</f>
        <v>1</v>
      </c>
      <c r="H42" s="135">
        <f t="shared" si="0"/>
        <v>0.16</v>
      </c>
    </row>
    <row r="43" spans="1:9" x14ac:dyDescent="0.3">
      <c r="F43" s="898" t="s">
        <v>265</v>
      </c>
      <c r="G43" s="898"/>
      <c r="H43" s="138">
        <f>SUM(H28:H42)</f>
        <v>77.98</v>
      </c>
    </row>
  </sheetData>
  <sheetProtection selectLockedCells="1" selectUnlockedCells="1"/>
  <mergeCells count="54">
    <mergeCell ref="A41:D41"/>
    <mergeCell ref="A42:D42"/>
    <mergeCell ref="F43:G43"/>
    <mergeCell ref="A36:D36"/>
    <mergeCell ref="A37:D37"/>
    <mergeCell ref="A38:D38"/>
    <mergeCell ref="A39:D39"/>
    <mergeCell ref="A40:D40"/>
    <mergeCell ref="A30:D30"/>
    <mergeCell ref="A31:D31"/>
    <mergeCell ref="A33:D33"/>
    <mergeCell ref="A34:D34"/>
    <mergeCell ref="A35:D35"/>
    <mergeCell ref="A32:D32"/>
    <mergeCell ref="A25:I25"/>
    <mergeCell ref="A26:I26"/>
    <mergeCell ref="A27:D27"/>
    <mergeCell ref="A28:D28"/>
    <mergeCell ref="A29:D29"/>
    <mergeCell ref="A22:I22"/>
    <mergeCell ref="A23:E24"/>
    <mergeCell ref="F23:G23"/>
    <mergeCell ref="H23:I23"/>
    <mergeCell ref="F24:G24"/>
    <mergeCell ref="H24:I24"/>
    <mergeCell ref="A17:I17"/>
    <mergeCell ref="A18:C18"/>
    <mergeCell ref="A19:I19"/>
    <mergeCell ref="A20:E21"/>
    <mergeCell ref="F20:G20"/>
    <mergeCell ref="H20:I20"/>
    <mergeCell ref="F21:G21"/>
    <mergeCell ref="H21:I21"/>
    <mergeCell ref="A11:I11"/>
    <mergeCell ref="A12:C13"/>
    <mergeCell ref="I12:I13"/>
    <mergeCell ref="A14:I14"/>
    <mergeCell ref="A15:D16"/>
    <mergeCell ref="A8:I8"/>
    <mergeCell ref="A9:E10"/>
    <mergeCell ref="F9:G9"/>
    <mergeCell ref="H9:I9"/>
    <mergeCell ref="F10:G10"/>
    <mergeCell ref="H10:I10"/>
    <mergeCell ref="A6:A7"/>
    <mergeCell ref="D6:E6"/>
    <mergeCell ref="F6:H6"/>
    <mergeCell ref="D7:E7"/>
    <mergeCell ref="F7:H7"/>
    <mergeCell ref="A1:H1"/>
    <mergeCell ref="A2:H2"/>
    <mergeCell ref="A3:I3"/>
    <mergeCell ref="A4:I4"/>
    <mergeCell ref="A5:I5"/>
  </mergeCells>
  <pageMargins left="0.78749999999999998" right="0.78749999999999998" top="1.0249999999999999" bottom="1.0249999999999999" header="0.78749999999999998" footer="0.78749999999999998"/>
  <pageSetup paperSize="9" firstPageNumber="0" orientation="portrait" horizontalDpi="300" verticalDpi="300"/>
  <headerFooter alignWithMargins="0">
    <oddHeader>&amp;C&amp;A</oddHeader>
    <oddFooter>&amp;CPágina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0"/>
  <sheetViews>
    <sheetView topLeftCell="B59" workbookViewId="0">
      <selection activeCell="K33" sqref="K33:L36"/>
    </sheetView>
  </sheetViews>
  <sheetFormatPr defaultColWidth="13.44140625" defaultRowHeight="15.6" x14ac:dyDescent="0.25"/>
  <cols>
    <col min="1" max="1" width="1.44140625" style="19" customWidth="1"/>
    <col min="2" max="11" width="13.44140625" style="19" customWidth="1"/>
    <col min="12" max="12" width="21" style="19" customWidth="1"/>
    <col min="13" max="16384" width="13.44140625" style="19"/>
  </cols>
  <sheetData>
    <row r="1" spans="1:12" ht="21.75" customHeight="1" x14ac:dyDescent="0.25">
      <c r="A1" s="20"/>
      <c r="B1" s="899" t="s">
        <v>106</v>
      </c>
      <c r="C1" s="899"/>
      <c r="D1" s="899"/>
      <c r="E1" s="899"/>
      <c r="F1" s="899"/>
      <c r="G1" s="899"/>
      <c r="H1" s="899"/>
      <c r="I1" s="899"/>
      <c r="J1" s="899"/>
      <c r="K1" s="900"/>
      <c r="L1" s="900"/>
    </row>
    <row r="2" spans="1:12" ht="21.75" customHeight="1" x14ac:dyDescent="0.25">
      <c r="A2" s="20"/>
      <c r="B2" s="901" t="s">
        <v>2</v>
      </c>
      <c r="C2" s="901"/>
      <c r="D2" s="901"/>
      <c r="E2" s="902" t="str">
        <f>'DADOS INICIAIS'!D2</f>
        <v>16034.720017/2023-24</v>
      </c>
      <c r="F2" s="902"/>
      <c r="G2" s="902"/>
      <c r="H2" s="902"/>
      <c r="I2" s="902"/>
      <c r="J2" s="902"/>
      <c r="K2" s="900"/>
      <c r="L2" s="900"/>
    </row>
    <row r="3" spans="1:12" ht="21.75" customHeight="1" x14ac:dyDescent="0.25">
      <c r="A3" s="20"/>
      <c r="B3" s="901" t="s">
        <v>3</v>
      </c>
      <c r="C3" s="901"/>
      <c r="D3" s="901"/>
      <c r="E3" s="903" t="str">
        <f>'DADOS INICIAIS'!D3</f>
        <v>Pregão DRF/JUN nº 10/2023</v>
      </c>
      <c r="F3" s="903"/>
      <c r="G3" s="903"/>
      <c r="H3" s="903"/>
      <c r="I3" s="903"/>
      <c r="J3" s="903"/>
      <c r="K3" s="900"/>
      <c r="L3" s="900"/>
    </row>
    <row r="4" spans="1:12" ht="21.75" customHeight="1" x14ac:dyDescent="0.25">
      <c r="A4" s="20"/>
      <c r="B4" s="901" t="s">
        <v>4</v>
      </c>
      <c r="C4" s="901"/>
      <c r="D4" s="901"/>
      <c r="E4" s="904" t="str">
        <f>'DADOS INICIAIS'!D4</f>
        <v>XX/XX/2023</v>
      </c>
      <c r="F4" s="904"/>
      <c r="G4" s="23"/>
      <c r="H4" s="24" t="s">
        <v>5</v>
      </c>
      <c r="I4" s="905">
        <f>'DADOS INICIAIS'!H4</f>
        <v>0.375</v>
      </c>
      <c r="J4" s="905"/>
      <c r="K4" s="900"/>
      <c r="L4" s="900"/>
    </row>
    <row r="5" spans="1:12" ht="21.75" customHeight="1" x14ac:dyDescent="0.25">
      <c r="A5" s="20"/>
      <c r="B5" s="25"/>
      <c r="C5" s="26"/>
      <c r="D5" s="26"/>
      <c r="E5" s="26"/>
      <c r="F5" s="26"/>
      <c r="G5" s="26"/>
      <c r="H5" s="26"/>
      <c r="I5" s="26"/>
      <c r="J5" s="26"/>
      <c r="K5" s="900"/>
      <c r="L5" s="900"/>
    </row>
    <row r="6" spans="1:12" ht="21.75" customHeight="1" x14ac:dyDescent="0.25">
      <c r="A6" s="20"/>
      <c r="B6" s="901" t="s">
        <v>107</v>
      </c>
      <c r="C6" s="901"/>
      <c r="D6" s="901"/>
      <c r="E6" s="906" t="str">
        <f>'DADOS INICIAIS'!D1</f>
        <v>Manutenção Predial</v>
      </c>
      <c r="F6" s="906"/>
      <c r="G6" s="906"/>
      <c r="H6" s="906"/>
      <c r="I6" s="906"/>
      <c r="J6" s="906"/>
      <c r="K6" s="900"/>
      <c r="L6" s="900"/>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908" t="str">
        <f>'DADOS INICIAIS'!D6</f>
        <v>JUNDIAÍ</v>
      </c>
      <c r="H8" s="908"/>
      <c r="I8" s="908"/>
      <c r="J8" s="908"/>
      <c r="K8" s="908"/>
      <c r="L8" s="908"/>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266</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INICIAIS'!H16</f>
        <v>2405.06</v>
      </c>
    </row>
    <row r="16" spans="1:12" ht="21.75" customHeight="1" x14ac:dyDescent="0.25">
      <c r="A16" s="20"/>
      <c r="B16" s="33">
        <v>2</v>
      </c>
      <c r="C16" s="22" t="s">
        <v>116</v>
      </c>
      <c r="D16" s="22"/>
      <c r="E16" s="22"/>
      <c r="F16" s="22"/>
      <c r="G16" s="22"/>
      <c r="H16" s="22"/>
      <c r="I16" s="22"/>
      <c r="J16" s="22"/>
      <c r="K16" s="22"/>
      <c r="L16" s="139" t="str">
        <f>'DADOS INICIAIS'!H17</f>
        <v>Oficial Manutenção</v>
      </c>
    </row>
    <row r="17" spans="1:13" ht="21.75" customHeight="1" x14ac:dyDescent="0.25">
      <c r="A17" s="20"/>
      <c r="B17" s="36">
        <v>3</v>
      </c>
      <c r="C17" s="37" t="s">
        <v>117</v>
      </c>
      <c r="D17" s="37"/>
      <c r="E17" s="37"/>
      <c r="F17" s="37"/>
      <c r="G17" s="37"/>
      <c r="H17" s="37"/>
      <c r="I17" s="37"/>
      <c r="J17" s="37"/>
      <c r="K17" s="37"/>
      <c r="L17" s="38" t="str">
        <f>'DADOS INICIAIS'!H18</f>
        <v>maio</v>
      </c>
    </row>
    <row r="18" spans="1:13" ht="21.75" customHeight="1" x14ac:dyDescent="0.25">
      <c r="A18" s="20"/>
      <c r="B18" s="33">
        <v>4</v>
      </c>
      <c r="C18" s="910" t="s">
        <v>118</v>
      </c>
      <c r="D18" s="910"/>
      <c r="E18" s="910"/>
      <c r="F18" s="910"/>
      <c r="G18" s="910"/>
      <c r="H18" s="910"/>
      <c r="I18" s="910"/>
      <c r="J18" s="910"/>
      <c r="K18" s="910"/>
      <c r="L18" s="140" t="str">
        <f>'DADOS INICIAIS'!H15</f>
        <v>5143-25</v>
      </c>
    </row>
    <row r="19" spans="1:13" ht="21.75" customHeight="1" x14ac:dyDescent="0.25">
      <c r="A19" s="20"/>
      <c r="B19" s="40"/>
      <c r="C19" s="20"/>
      <c r="D19" s="20"/>
      <c r="E19" s="20"/>
      <c r="F19" s="20"/>
      <c r="G19" s="20"/>
      <c r="H19" s="20"/>
      <c r="I19" s="20"/>
      <c r="J19" s="20"/>
      <c r="K19" s="20"/>
      <c r="L19" s="41"/>
    </row>
    <row r="20" spans="1:13" ht="21.75" customHeight="1" x14ac:dyDescent="0.25">
      <c r="A20" s="20"/>
      <c r="B20" s="911" t="s">
        <v>119</v>
      </c>
      <c r="C20" s="911"/>
      <c r="D20" s="911"/>
      <c r="E20" s="911"/>
      <c r="F20" s="911"/>
      <c r="G20" s="911"/>
      <c r="H20" s="911"/>
      <c r="I20" s="911"/>
      <c r="J20" s="911"/>
      <c r="K20" s="911"/>
      <c r="L20" s="42" t="s">
        <v>72</v>
      </c>
      <c r="M20" s="141" t="s">
        <v>267</v>
      </c>
    </row>
    <row r="21" spans="1:13" ht="21.75" customHeight="1" x14ac:dyDescent="0.25">
      <c r="A21" s="20"/>
      <c r="B21" s="33" t="s">
        <v>120</v>
      </c>
      <c r="C21" s="22" t="s">
        <v>121</v>
      </c>
      <c r="D21" s="22"/>
      <c r="E21" s="22"/>
      <c r="F21" s="22"/>
      <c r="G21" s="22"/>
      <c r="H21" s="22"/>
      <c r="I21" s="22"/>
      <c r="J21" s="22"/>
      <c r="K21" s="142"/>
      <c r="L21" s="44">
        <f>OFICIAL!L20</f>
        <v>2405.06</v>
      </c>
    </row>
    <row r="22" spans="1:13" ht="21.75" customHeight="1" x14ac:dyDescent="0.25">
      <c r="A22" s="20"/>
      <c r="B22" s="33" t="s">
        <v>122</v>
      </c>
      <c r="C22" s="37" t="s">
        <v>30</v>
      </c>
      <c r="D22" s="37"/>
      <c r="E22" s="37"/>
      <c r="F22" s="43" t="s">
        <v>123</v>
      </c>
      <c r="G22" s="43"/>
      <c r="H22" s="37"/>
      <c r="I22" s="43" t="s">
        <v>124</v>
      </c>
      <c r="J22" s="20"/>
      <c r="K22" s="52">
        <f>OFICIAL!K21</f>
        <v>0.3</v>
      </c>
      <c r="L22" s="44">
        <f>L21*K22</f>
        <v>721.51799999999992</v>
      </c>
    </row>
    <row r="23" spans="1:13" ht="21.75" customHeight="1" x14ac:dyDescent="0.25">
      <c r="A23" s="20"/>
      <c r="B23" s="912" t="s">
        <v>125</v>
      </c>
      <c r="C23" s="37" t="s">
        <v>126</v>
      </c>
      <c r="D23" s="37"/>
      <c r="E23" s="37"/>
      <c r="F23" s="43" t="s">
        <v>127</v>
      </c>
      <c r="G23" s="43"/>
      <c r="H23" s="37"/>
      <c r="I23" s="37"/>
      <c r="J23" s="37"/>
      <c r="K23" s="137">
        <f>OFICIAL!K22</f>
        <v>0</v>
      </c>
      <c r="L23" s="913">
        <f>L21*K23</f>
        <v>0</v>
      </c>
    </row>
    <row r="24" spans="1:13" ht="21.75" customHeight="1" x14ac:dyDescent="0.25">
      <c r="A24" s="20"/>
      <c r="B24" s="912"/>
      <c r="C24" s="31"/>
      <c r="D24" s="31"/>
      <c r="E24" s="31"/>
      <c r="F24" s="46" t="s">
        <v>128</v>
      </c>
      <c r="G24" s="46"/>
      <c r="H24" s="31"/>
      <c r="I24" s="47" t="s">
        <v>129</v>
      </c>
      <c r="J24" s="48"/>
      <c r="K24" s="143"/>
      <c r="L24" s="913"/>
    </row>
    <row r="25" spans="1:13" ht="21.75" customHeight="1" x14ac:dyDescent="0.25">
      <c r="A25" s="20"/>
      <c r="B25" s="33" t="s">
        <v>130</v>
      </c>
      <c r="C25" s="914" t="s">
        <v>131</v>
      </c>
      <c r="D25" s="914"/>
      <c r="E25" s="914"/>
      <c r="F25" s="914"/>
      <c r="G25" s="914"/>
      <c r="H25" s="914"/>
      <c r="I25" s="914"/>
      <c r="J25" s="914"/>
      <c r="K25" s="914"/>
      <c r="L25" s="44">
        <f>OFICIAL!L23</f>
        <v>0</v>
      </c>
    </row>
    <row r="26" spans="1:13" ht="21.75" customHeight="1" x14ac:dyDescent="0.25">
      <c r="A26" s="20"/>
      <c r="B26" s="33" t="s">
        <v>132</v>
      </c>
      <c r="C26" s="914" t="s">
        <v>116</v>
      </c>
      <c r="D26" s="914"/>
      <c r="E26" s="914"/>
      <c r="F26" s="914"/>
      <c r="G26" s="914"/>
      <c r="H26" s="914"/>
      <c r="I26" s="914"/>
      <c r="J26" s="914"/>
      <c r="K26" s="914"/>
      <c r="L26" s="44" t="str">
        <f>OFICIAL!L24</f>
        <v>Oficial Manutenção</v>
      </c>
    </row>
    <row r="27" spans="1:13" ht="21.75" customHeight="1" x14ac:dyDescent="0.25">
      <c r="A27" s="20"/>
      <c r="B27" s="33" t="s">
        <v>133</v>
      </c>
      <c r="C27" s="914" t="s">
        <v>134</v>
      </c>
      <c r="D27" s="914"/>
      <c r="E27" s="914"/>
      <c r="F27" s="914"/>
      <c r="G27" s="914"/>
      <c r="H27" s="914"/>
      <c r="I27" s="914"/>
      <c r="J27" s="914"/>
      <c r="K27" s="914"/>
      <c r="L27" s="44">
        <f>OFICIAL!L25</f>
        <v>0</v>
      </c>
    </row>
    <row r="28" spans="1:13" ht="21.75" customHeight="1" x14ac:dyDescent="0.25">
      <c r="A28" s="20"/>
      <c r="B28" s="33" t="s">
        <v>135</v>
      </c>
      <c r="C28" s="914" t="s">
        <v>136</v>
      </c>
      <c r="D28" s="914"/>
      <c r="E28" s="914"/>
      <c r="F28" s="914"/>
      <c r="G28" s="914"/>
      <c r="H28" s="914"/>
      <c r="I28" s="914"/>
      <c r="J28" s="914"/>
      <c r="K28" s="914"/>
      <c r="L28" s="44">
        <f>OFICIAL!L26</f>
        <v>0</v>
      </c>
    </row>
    <row r="29" spans="1:13" ht="21.75" customHeight="1" x14ac:dyDescent="0.25">
      <c r="A29" s="20"/>
      <c r="B29" s="911" t="s">
        <v>137</v>
      </c>
      <c r="C29" s="911"/>
      <c r="D29" s="911"/>
      <c r="E29" s="911"/>
      <c r="F29" s="911"/>
      <c r="G29" s="49"/>
      <c r="H29" s="49"/>
      <c r="I29" s="49"/>
      <c r="J29" s="49"/>
      <c r="K29" s="49"/>
      <c r="L29" s="50">
        <f>(SUM(L21:L28)/220)*1.6</f>
        <v>22.738749090909092</v>
      </c>
      <c r="M29" s="50">
        <f>(SUM(L21:L28)/220)*2</f>
        <v>28.423436363636363</v>
      </c>
    </row>
    <row r="30" spans="1:13" ht="21.75" customHeight="1" x14ac:dyDescent="0.25">
      <c r="A30" s="20"/>
      <c r="B30" s="915"/>
      <c r="C30" s="915"/>
      <c r="D30" s="915"/>
      <c r="E30" s="915"/>
      <c r="F30" s="915"/>
      <c r="G30" s="915"/>
      <c r="H30" s="915"/>
      <c r="I30" s="915"/>
      <c r="J30" s="915"/>
      <c r="K30" s="915"/>
      <c r="L30" s="915"/>
    </row>
    <row r="31" spans="1:13" ht="21.75" customHeight="1" x14ac:dyDescent="0.25">
      <c r="A31" s="20"/>
      <c r="B31" s="916" t="s">
        <v>268</v>
      </c>
      <c r="C31" s="916"/>
      <c r="D31" s="916"/>
      <c r="E31" s="916"/>
      <c r="F31" s="916"/>
      <c r="G31" s="916"/>
      <c r="H31" s="916"/>
      <c r="I31" s="916"/>
      <c r="J31" s="916"/>
      <c r="K31" s="916"/>
      <c r="L31" s="916"/>
    </row>
    <row r="32" spans="1:13" ht="21.75" customHeight="1" x14ac:dyDescent="0.25">
      <c r="A32" s="20"/>
      <c r="B32" s="917" t="s">
        <v>269</v>
      </c>
      <c r="C32" s="917"/>
      <c r="D32" s="917"/>
      <c r="E32" s="917"/>
      <c r="F32" s="917"/>
      <c r="G32" s="917"/>
      <c r="H32" s="917"/>
      <c r="I32" s="917"/>
      <c r="J32" s="917"/>
      <c r="K32" s="917"/>
      <c r="L32" s="917"/>
    </row>
    <row r="33" spans="1:13" ht="21.75" customHeight="1" x14ac:dyDescent="0.25">
      <c r="A33" s="20"/>
      <c r="B33" s="51" t="s">
        <v>120</v>
      </c>
      <c r="C33" s="918" t="s">
        <v>140</v>
      </c>
      <c r="D33" s="918"/>
      <c r="E33" s="918"/>
      <c r="F33" s="918"/>
      <c r="G33" s="918"/>
      <c r="H33" s="918"/>
      <c r="I33" s="918"/>
      <c r="J33" s="918"/>
      <c r="K33" s="52">
        <v>8.3299999999999999E-2</v>
      </c>
      <c r="L33" s="53">
        <f>L29*K33</f>
        <v>1.8941377992727273</v>
      </c>
      <c r="M33" s="53">
        <f>$M$29*$K33</f>
        <v>2.367672249090909</v>
      </c>
    </row>
    <row r="34" spans="1:13" ht="21.75" customHeight="1" x14ac:dyDescent="0.25">
      <c r="A34" s="20"/>
      <c r="B34" s="51" t="s">
        <v>122</v>
      </c>
      <c r="C34" s="918" t="s">
        <v>270</v>
      </c>
      <c r="D34" s="918"/>
      <c r="E34" s="918"/>
      <c r="F34" s="918"/>
      <c r="G34" s="918"/>
      <c r="H34" s="918"/>
      <c r="I34" s="918"/>
      <c r="J34" s="918"/>
      <c r="K34" s="52">
        <v>0.121</v>
      </c>
      <c r="L34" s="53">
        <f>L29*K34</f>
        <v>2.7513886400000001</v>
      </c>
      <c r="M34" s="53">
        <f>$M$29*$K34</f>
        <v>3.4392357999999996</v>
      </c>
    </row>
    <row r="35" spans="1:13" ht="21.75" customHeight="1" x14ac:dyDescent="0.25">
      <c r="A35" s="20"/>
      <c r="B35" s="51"/>
      <c r="C35" s="918" t="s">
        <v>142</v>
      </c>
      <c r="D35" s="918"/>
      <c r="E35" s="918"/>
      <c r="F35" s="918"/>
      <c r="G35" s="918"/>
      <c r="H35" s="918"/>
      <c r="I35" s="918"/>
      <c r="J35" s="918"/>
      <c r="K35" s="52">
        <f>(K33+K34)*K39</f>
        <v>7.518240000000001E-2</v>
      </c>
      <c r="L35" s="53">
        <f>L29*K35</f>
        <v>1.709553729652364</v>
      </c>
      <c r="M35" s="53">
        <f>$M$29*$K35</f>
        <v>2.1369421620654547</v>
      </c>
    </row>
    <row r="36" spans="1:13" ht="21.75" customHeight="1" x14ac:dyDescent="0.25">
      <c r="A36" s="20"/>
      <c r="B36" s="54"/>
      <c r="C36" s="919"/>
      <c r="D36" s="919"/>
      <c r="E36" s="919"/>
      <c r="F36" s="919"/>
      <c r="G36" s="919"/>
      <c r="H36" s="919"/>
      <c r="I36" s="919"/>
      <c r="J36" s="919"/>
      <c r="K36" s="55">
        <f>K33+K34+K35</f>
        <v>0.27948240000000002</v>
      </c>
      <c r="L36" s="56">
        <f>L29*K36</f>
        <v>6.3550801689250918</v>
      </c>
      <c r="M36" s="144">
        <f>SUM(M33:M35)</f>
        <v>7.9438502111563638</v>
      </c>
    </row>
    <row r="37" spans="1:13" ht="21.75" customHeight="1" x14ac:dyDescent="0.25">
      <c r="A37" s="20"/>
      <c r="B37" s="920"/>
      <c r="C37" s="920"/>
      <c r="D37" s="920"/>
      <c r="E37" s="920"/>
      <c r="F37" s="920"/>
      <c r="G37" s="920"/>
      <c r="H37" s="920"/>
      <c r="I37" s="920"/>
      <c r="J37" s="920"/>
      <c r="K37" s="920"/>
      <c r="L37" s="920"/>
    </row>
    <row r="38" spans="1:13" ht="21.75" customHeight="1" x14ac:dyDescent="0.25">
      <c r="A38" s="20"/>
      <c r="B38" s="921" t="s">
        <v>143</v>
      </c>
      <c r="C38" s="921"/>
      <c r="D38" s="921"/>
      <c r="E38" s="921"/>
      <c r="F38" s="921"/>
      <c r="G38" s="921"/>
      <c r="H38" s="921"/>
      <c r="I38" s="921"/>
      <c r="J38" s="921"/>
      <c r="K38" s="921"/>
      <c r="L38" s="921"/>
    </row>
    <row r="39" spans="1:13" ht="21.75" customHeight="1" x14ac:dyDescent="0.25">
      <c r="A39" s="20"/>
      <c r="B39" s="57" t="s">
        <v>144</v>
      </c>
      <c r="C39" s="20"/>
      <c r="D39" s="20"/>
      <c r="E39" s="20"/>
      <c r="F39" s="20"/>
      <c r="G39" s="20"/>
      <c r="H39" s="20"/>
      <c r="I39" s="20"/>
      <c r="J39" s="20"/>
      <c r="K39" s="58">
        <f>SUM(K40:K47)</f>
        <v>0.3680000000000001</v>
      </c>
      <c r="L39" s="59">
        <f>SUM(L40:L47)</f>
        <v>8.3678596654545458</v>
      </c>
      <c r="M39" s="145">
        <f>SUM(M40:M47)</f>
        <v>10.459824581818181</v>
      </c>
    </row>
    <row r="40" spans="1:13" ht="21.75" customHeight="1" x14ac:dyDescent="0.25">
      <c r="A40" s="20"/>
      <c r="B40" s="33" t="s">
        <v>120</v>
      </c>
      <c r="C40" s="922" t="s">
        <v>145</v>
      </c>
      <c r="D40" s="922"/>
      <c r="E40" s="922"/>
      <c r="F40" s="922"/>
      <c r="G40" s="922"/>
      <c r="H40" s="922"/>
      <c r="I40" s="922"/>
      <c r="J40" s="922"/>
      <c r="K40" s="60">
        <v>0.2</v>
      </c>
      <c r="L40" s="44">
        <f t="shared" ref="L40:L47" si="0">K40*$L$29</f>
        <v>4.5477498181818188</v>
      </c>
      <c r="M40" s="53">
        <f t="shared" ref="M40:M47" si="1">$M$29*$K40</f>
        <v>5.684687272727273</v>
      </c>
    </row>
    <row r="41" spans="1:13" ht="21.75" customHeight="1" x14ac:dyDescent="0.25">
      <c r="A41" s="20"/>
      <c r="B41" s="33" t="s">
        <v>122</v>
      </c>
      <c r="C41" s="922" t="s">
        <v>146</v>
      </c>
      <c r="D41" s="922"/>
      <c r="E41" s="922"/>
      <c r="F41" s="922"/>
      <c r="G41" s="922"/>
      <c r="H41" s="922"/>
      <c r="I41" s="922"/>
      <c r="J41" s="922"/>
      <c r="K41" s="60">
        <v>1.4999999999999999E-2</v>
      </c>
      <c r="L41" s="44">
        <f t="shared" si="0"/>
        <v>0.34108123636363635</v>
      </c>
      <c r="M41" s="53">
        <f t="shared" si="1"/>
        <v>0.4263515454545454</v>
      </c>
    </row>
    <row r="42" spans="1:13" ht="21.75" customHeight="1" x14ac:dyDescent="0.25">
      <c r="A42" s="20"/>
      <c r="B42" s="33" t="s">
        <v>125</v>
      </c>
      <c r="C42" s="922" t="s">
        <v>147</v>
      </c>
      <c r="D42" s="922"/>
      <c r="E42" s="922"/>
      <c r="F42" s="922"/>
      <c r="G42" s="922"/>
      <c r="H42" s="922"/>
      <c r="I42" s="922"/>
      <c r="J42" s="922"/>
      <c r="K42" s="60">
        <v>0.01</v>
      </c>
      <c r="L42" s="44">
        <f t="shared" si="0"/>
        <v>0.22738749090909094</v>
      </c>
      <c r="M42" s="53">
        <f t="shared" si="1"/>
        <v>0.28423436363636362</v>
      </c>
    </row>
    <row r="43" spans="1:13" ht="21.75" customHeight="1" x14ac:dyDescent="0.25">
      <c r="A43" s="20"/>
      <c r="B43" s="33" t="s">
        <v>130</v>
      </c>
      <c r="C43" s="922" t="s">
        <v>148</v>
      </c>
      <c r="D43" s="922"/>
      <c r="E43" s="922"/>
      <c r="F43" s="922"/>
      <c r="G43" s="922"/>
      <c r="H43" s="922"/>
      <c r="I43" s="922"/>
      <c r="J43" s="922"/>
      <c r="K43" s="60">
        <v>2E-3</v>
      </c>
      <c r="L43" s="44">
        <f t="shared" si="0"/>
        <v>4.5477498181818184E-2</v>
      </c>
      <c r="M43" s="53">
        <f t="shared" si="1"/>
        <v>5.6846872727272728E-2</v>
      </c>
    </row>
    <row r="44" spans="1:13" ht="21.75" customHeight="1" x14ac:dyDescent="0.25">
      <c r="A44" s="20"/>
      <c r="B44" s="33" t="s">
        <v>132</v>
      </c>
      <c r="C44" s="922" t="s">
        <v>149</v>
      </c>
      <c r="D44" s="922"/>
      <c r="E44" s="922"/>
      <c r="F44" s="922"/>
      <c r="G44" s="922"/>
      <c r="H44" s="922"/>
      <c r="I44" s="922"/>
      <c r="J44" s="922"/>
      <c r="K44" s="60">
        <v>2.5000000000000001E-2</v>
      </c>
      <c r="L44" s="44">
        <f t="shared" si="0"/>
        <v>0.56846872727272735</v>
      </c>
      <c r="M44" s="53">
        <f t="shared" si="1"/>
        <v>0.71058590909090913</v>
      </c>
    </row>
    <row r="45" spans="1:13" ht="21.75" customHeight="1" x14ac:dyDescent="0.25">
      <c r="A45" s="20"/>
      <c r="B45" s="33" t="s">
        <v>133</v>
      </c>
      <c r="C45" s="922" t="s">
        <v>150</v>
      </c>
      <c r="D45" s="922"/>
      <c r="E45" s="922"/>
      <c r="F45" s="922"/>
      <c r="G45" s="922"/>
      <c r="H45" s="922"/>
      <c r="I45" s="922"/>
      <c r="J45" s="922"/>
      <c r="K45" s="60">
        <v>0.08</v>
      </c>
      <c r="L45" s="44">
        <f t="shared" si="0"/>
        <v>1.8190999272727275</v>
      </c>
      <c r="M45" s="53">
        <f t="shared" si="1"/>
        <v>2.2738749090909089</v>
      </c>
    </row>
    <row r="46" spans="1:13"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0.68216247272727271</v>
      </c>
      <c r="M46" s="53">
        <f t="shared" si="1"/>
        <v>0.8527030909090908</v>
      </c>
    </row>
    <row r="47" spans="1:13" ht="21.75" customHeight="1" x14ac:dyDescent="0.25">
      <c r="A47" s="20"/>
      <c r="B47" s="33" t="s">
        <v>153</v>
      </c>
      <c r="C47" s="63" t="s">
        <v>154</v>
      </c>
      <c r="D47" s="64"/>
      <c r="E47" s="64"/>
      <c r="F47" s="64"/>
      <c r="G47" s="64"/>
      <c r="H47" s="64"/>
      <c r="I47" s="64"/>
      <c r="J47" s="65"/>
      <c r="K47" s="60">
        <v>6.0000000000000001E-3</v>
      </c>
      <c r="L47" s="44">
        <f t="shared" si="0"/>
        <v>0.13643249454545456</v>
      </c>
      <c r="M47" s="53">
        <f t="shared" si="1"/>
        <v>0.17054061818181818</v>
      </c>
    </row>
    <row r="48" spans="1:13" ht="21.75" customHeight="1" x14ac:dyDescent="0.25">
      <c r="A48" s="20"/>
      <c r="B48" s="915"/>
      <c r="C48" s="915"/>
      <c r="D48" s="915"/>
      <c r="E48" s="915"/>
      <c r="F48" s="915"/>
      <c r="G48" s="915"/>
      <c r="H48" s="915"/>
      <c r="I48" s="915"/>
      <c r="J48" s="915"/>
      <c r="K48" s="915"/>
      <c r="L48" s="915"/>
    </row>
    <row r="49" spans="1:13" ht="21.75" customHeight="1" x14ac:dyDescent="0.25">
      <c r="A49" s="20"/>
      <c r="B49" s="916" t="s">
        <v>155</v>
      </c>
      <c r="C49" s="916"/>
      <c r="D49" s="916"/>
      <c r="E49" s="916"/>
      <c r="F49" s="916"/>
      <c r="G49" s="916"/>
      <c r="H49" s="916"/>
      <c r="I49" s="916"/>
      <c r="J49" s="916"/>
      <c r="K49" s="916"/>
      <c r="L49" s="916"/>
    </row>
    <row r="50" spans="1:13" ht="21.75" customHeight="1" x14ac:dyDescent="0.25">
      <c r="A50" s="20"/>
      <c r="B50" s="33" t="s">
        <v>120</v>
      </c>
      <c r="C50" s="924" t="s">
        <v>156</v>
      </c>
      <c r="D50" s="924"/>
      <c r="E50" s="924"/>
      <c r="F50" s="924"/>
      <c r="G50" s="924"/>
      <c r="H50" s="924"/>
      <c r="I50" s="924"/>
      <c r="J50" s="924"/>
      <c r="K50" s="924"/>
      <c r="L50" s="66">
        <v>0</v>
      </c>
    </row>
    <row r="51" spans="1:13" ht="21.75" customHeight="1" x14ac:dyDescent="0.25">
      <c r="A51" s="20"/>
      <c r="B51" s="33" t="s">
        <v>122</v>
      </c>
      <c r="C51" s="924" t="s">
        <v>157</v>
      </c>
      <c r="D51" s="924"/>
      <c r="E51" s="924"/>
      <c r="F51" s="924"/>
      <c r="G51" s="924"/>
      <c r="H51" s="924"/>
      <c r="I51" s="924"/>
      <c r="J51" s="924"/>
      <c r="K51" s="924"/>
      <c r="L51" s="66">
        <v>0</v>
      </c>
    </row>
    <row r="52" spans="1:13" ht="21.75" customHeight="1" x14ac:dyDescent="0.25">
      <c r="A52" s="20"/>
      <c r="B52" s="33" t="s">
        <v>125</v>
      </c>
      <c r="C52" s="924" t="s">
        <v>37</v>
      </c>
      <c r="D52" s="924"/>
      <c r="E52" s="924"/>
      <c r="F52" s="924"/>
      <c r="G52" s="924"/>
      <c r="H52" s="924"/>
      <c r="I52" s="924"/>
      <c r="J52" s="924"/>
      <c r="K52" s="924"/>
      <c r="L52" s="66">
        <v>0</v>
      </c>
    </row>
    <row r="53" spans="1:13" ht="21.75" customHeight="1" x14ac:dyDescent="0.25">
      <c r="A53" s="20"/>
      <c r="B53" s="33" t="s">
        <v>130</v>
      </c>
      <c r="C53" s="924" t="s">
        <v>158</v>
      </c>
      <c r="D53" s="924"/>
      <c r="E53" s="924"/>
      <c r="F53" s="924"/>
      <c r="G53" s="924"/>
      <c r="H53" s="924"/>
      <c r="I53" s="924"/>
      <c r="J53" s="924"/>
      <c r="K53" s="924"/>
      <c r="L53" s="66">
        <v>0</v>
      </c>
    </row>
    <row r="54" spans="1:13" ht="21.75" customHeight="1" x14ac:dyDescent="0.25">
      <c r="A54" s="20"/>
      <c r="B54" s="33" t="s">
        <v>132</v>
      </c>
      <c r="C54" s="924" t="s">
        <v>159</v>
      </c>
      <c r="D54" s="924"/>
      <c r="E54" s="924"/>
      <c r="F54" s="924"/>
      <c r="G54" s="924"/>
      <c r="H54" s="924"/>
      <c r="I54" s="924"/>
      <c r="J54" s="924"/>
      <c r="K54" s="924"/>
      <c r="L54" s="66">
        <v>0</v>
      </c>
    </row>
    <row r="55" spans="1:13" ht="21.75" customHeight="1" x14ac:dyDescent="0.25">
      <c r="A55" s="20"/>
      <c r="B55" s="33" t="s">
        <v>133</v>
      </c>
      <c r="C55" s="924" t="s">
        <v>160</v>
      </c>
      <c r="D55" s="924"/>
      <c r="E55" s="924"/>
      <c r="F55" s="924"/>
      <c r="G55" s="924"/>
      <c r="H55" s="924"/>
      <c r="I55" s="924"/>
      <c r="J55" s="924"/>
      <c r="K55" s="924"/>
      <c r="L55" s="66">
        <v>0</v>
      </c>
    </row>
    <row r="56" spans="1:13" ht="21.75" customHeight="1" x14ac:dyDescent="0.25">
      <c r="A56" s="20"/>
      <c r="B56" s="33" t="s">
        <v>135</v>
      </c>
      <c r="C56" s="924" t="s">
        <v>271</v>
      </c>
      <c r="D56" s="924"/>
      <c r="E56" s="924"/>
      <c r="F56" s="924"/>
      <c r="G56" s="924"/>
      <c r="H56" s="924"/>
      <c r="I56" s="924"/>
      <c r="J56" s="924"/>
      <c r="K56" s="924"/>
      <c r="L56" s="66">
        <f>' Enc e Beneficios Oficial'!H21</f>
        <v>0</v>
      </c>
    </row>
    <row r="57" spans="1:13" ht="21.75" customHeight="1" x14ac:dyDescent="0.25">
      <c r="A57" s="20"/>
      <c r="B57" s="33" t="s">
        <v>153</v>
      </c>
      <c r="C57" s="924" t="s">
        <v>272</v>
      </c>
      <c r="D57" s="924"/>
      <c r="E57" s="924"/>
      <c r="F57" s="924"/>
      <c r="G57" s="924"/>
      <c r="H57" s="924"/>
      <c r="I57" s="924"/>
      <c r="J57" s="924"/>
      <c r="K57" s="924"/>
      <c r="L57" s="66">
        <v>0</v>
      </c>
    </row>
    <row r="58" spans="1:13" ht="21.75" customHeight="1" x14ac:dyDescent="0.25">
      <c r="A58" s="20"/>
      <c r="B58" s="33" t="s">
        <v>161</v>
      </c>
      <c r="C58" s="924" t="s">
        <v>136</v>
      </c>
      <c r="D58" s="924"/>
      <c r="E58" s="924"/>
      <c r="F58" s="924"/>
      <c r="G58" s="924"/>
      <c r="H58" s="924"/>
      <c r="I58" s="924"/>
      <c r="J58" s="924"/>
      <c r="K58" s="924"/>
      <c r="L58" s="66"/>
    </row>
    <row r="59" spans="1:13" ht="21.75" customHeight="1" x14ac:dyDescent="0.25">
      <c r="A59" s="20"/>
      <c r="B59" s="33"/>
      <c r="C59" s="919" t="s">
        <v>162</v>
      </c>
      <c r="D59" s="919"/>
      <c r="E59" s="919"/>
      <c r="F59" s="919"/>
      <c r="G59" s="919"/>
      <c r="H59" s="919"/>
      <c r="I59" s="919"/>
      <c r="J59" s="919"/>
      <c r="K59" s="919"/>
      <c r="L59" s="56">
        <f>SUM(L50:L58)</f>
        <v>0</v>
      </c>
    </row>
    <row r="60" spans="1:13" ht="21.75" customHeight="1" x14ac:dyDescent="0.25">
      <c r="A60" s="20"/>
      <c r="B60" s="920"/>
      <c r="C60" s="920"/>
      <c r="D60" s="920"/>
      <c r="E60" s="920"/>
      <c r="F60" s="920"/>
      <c r="G60" s="920"/>
      <c r="H60" s="920"/>
      <c r="I60" s="920"/>
      <c r="J60" s="920"/>
      <c r="K60" s="920"/>
      <c r="L60" s="920"/>
    </row>
    <row r="61" spans="1:13" ht="21.75" customHeight="1" x14ac:dyDescent="0.25">
      <c r="A61" s="20"/>
      <c r="B61" s="921" t="s">
        <v>163</v>
      </c>
      <c r="C61" s="921"/>
      <c r="D61" s="921"/>
      <c r="E61" s="921"/>
      <c r="F61" s="921"/>
      <c r="G61" s="921"/>
      <c r="H61" s="921"/>
      <c r="I61" s="921"/>
      <c r="J61" s="921"/>
      <c r="K61" s="921"/>
      <c r="L61" s="921"/>
    </row>
    <row r="62" spans="1:13" ht="21.75" customHeight="1" x14ac:dyDescent="0.25">
      <c r="A62" s="20"/>
      <c r="B62" s="67" t="s">
        <v>164</v>
      </c>
      <c r="C62" s="925" t="s">
        <v>165</v>
      </c>
      <c r="D62" s="925"/>
      <c r="E62" s="925"/>
      <c r="F62" s="925"/>
      <c r="G62" s="925"/>
      <c r="H62" s="925"/>
      <c r="I62" s="925"/>
      <c r="J62" s="925"/>
      <c r="K62" s="68">
        <f>K36</f>
        <v>0.27948240000000002</v>
      </c>
      <c r="L62" s="69">
        <f>K62*L29</f>
        <v>6.3550801689250918</v>
      </c>
      <c r="M62" s="53">
        <f>$M$29*$K62</f>
        <v>7.9438502111563638</v>
      </c>
    </row>
    <row r="63" spans="1:13" ht="21.75" customHeight="1" x14ac:dyDescent="0.25">
      <c r="A63" s="20"/>
      <c r="B63" s="67" t="s">
        <v>166</v>
      </c>
      <c r="C63" s="926" t="s">
        <v>167</v>
      </c>
      <c r="D63" s="926"/>
      <c r="E63" s="926"/>
      <c r="F63" s="926"/>
      <c r="G63" s="926"/>
      <c r="H63" s="926"/>
      <c r="I63" s="926"/>
      <c r="J63" s="926"/>
      <c r="K63" s="68">
        <f>K39</f>
        <v>0.3680000000000001</v>
      </c>
      <c r="L63" s="69">
        <f>K63*L29</f>
        <v>8.3678596654545476</v>
      </c>
      <c r="M63" s="53">
        <f>$M$29*$K63</f>
        <v>10.459824581818184</v>
      </c>
    </row>
    <row r="64" spans="1:13" ht="21.75" customHeight="1" x14ac:dyDescent="0.25">
      <c r="A64" s="20"/>
      <c r="B64" s="67" t="s">
        <v>168</v>
      </c>
      <c r="C64" s="926" t="s">
        <v>169</v>
      </c>
      <c r="D64" s="926"/>
      <c r="E64" s="926"/>
      <c r="F64" s="926"/>
      <c r="G64" s="926"/>
      <c r="H64" s="926"/>
      <c r="I64" s="926"/>
      <c r="J64" s="926"/>
      <c r="K64" s="926"/>
      <c r="L64" s="69">
        <f>L59</f>
        <v>0</v>
      </c>
      <c r="M64" s="146">
        <f>M59</f>
        <v>0</v>
      </c>
    </row>
    <row r="65" spans="1:13" ht="21.75" customHeight="1" x14ac:dyDescent="0.25">
      <c r="A65" s="20"/>
      <c r="B65" s="70"/>
      <c r="C65" s="927" t="s">
        <v>162</v>
      </c>
      <c r="D65" s="927"/>
      <c r="E65" s="927"/>
      <c r="F65" s="927"/>
      <c r="G65" s="927"/>
      <c r="H65" s="927"/>
      <c r="I65" s="927"/>
      <c r="J65" s="927"/>
      <c r="K65" s="927"/>
      <c r="L65" s="71">
        <f>L62+L63+L64</f>
        <v>14.722939834379639</v>
      </c>
      <c r="M65" s="144">
        <f>SUM(M62:M64)</f>
        <v>18.403674792974549</v>
      </c>
    </row>
    <row r="66" spans="1:13" s="73" customFormat="1" ht="21.75" customHeight="1" x14ac:dyDescent="0.25">
      <c r="A66" s="72"/>
      <c r="B66" s="915"/>
      <c r="C66" s="915"/>
      <c r="D66" s="915"/>
      <c r="E66" s="915"/>
      <c r="F66" s="915"/>
      <c r="G66" s="915"/>
      <c r="H66" s="915"/>
      <c r="I66" s="915"/>
      <c r="J66" s="915"/>
      <c r="K66" s="915"/>
      <c r="L66" s="915"/>
    </row>
    <row r="67" spans="1:13" ht="21.75" customHeight="1" x14ac:dyDescent="0.25">
      <c r="A67" s="72"/>
      <c r="B67" s="916" t="s">
        <v>273</v>
      </c>
      <c r="C67" s="916"/>
      <c r="D67" s="916"/>
      <c r="E67" s="916"/>
      <c r="F67" s="916"/>
      <c r="G67" s="916"/>
      <c r="H67" s="916"/>
      <c r="I67" s="916"/>
      <c r="J67" s="916"/>
      <c r="K67" s="916"/>
      <c r="L67" s="916"/>
    </row>
    <row r="68" spans="1:13" ht="21.75" customHeight="1" x14ac:dyDescent="0.25">
      <c r="A68" s="72"/>
      <c r="B68" s="33" t="s">
        <v>120</v>
      </c>
      <c r="C68" s="74" t="s">
        <v>171</v>
      </c>
      <c r="D68" s="75"/>
      <c r="E68" s="3">
        <v>30</v>
      </c>
      <c r="F68" s="2" t="s">
        <v>172</v>
      </c>
      <c r="G68" s="928" t="s">
        <v>274</v>
      </c>
      <c r="H68" s="928"/>
      <c r="I68" s="929">
        <f>OFICIAL!I66</f>
        <v>0.05</v>
      </c>
      <c r="J68" s="929"/>
      <c r="K68" s="76">
        <f>E68/360*I68</f>
        <v>4.1666666666666666E-3</v>
      </c>
      <c r="L68" s="66">
        <f t="shared" ref="L68:L74" si="2">K68*$L$29</f>
        <v>9.4744787878787887E-2</v>
      </c>
      <c r="M68" s="53">
        <f t="shared" ref="M68:M74" si="3">$M$29*$K68</f>
        <v>0.11843098484848484</v>
      </c>
    </row>
    <row r="69" spans="1:13" ht="21.75" customHeight="1" x14ac:dyDescent="0.25">
      <c r="A69" s="72"/>
      <c r="B69" s="33" t="s">
        <v>122</v>
      </c>
      <c r="C69" s="930" t="s">
        <v>174</v>
      </c>
      <c r="D69" s="930"/>
      <c r="E69" s="930"/>
      <c r="F69" s="930"/>
      <c r="G69" s="930"/>
      <c r="H69" s="930"/>
      <c r="I69" s="930"/>
      <c r="J69" s="930"/>
      <c r="K69" s="76">
        <f>K45*K68</f>
        <v>3.3333333333333332E-4</v>
      </c>
      <c r="L69" s="66">
        <f t="shared" si="2"/>
        <v>7.57958303030303E-3</v>
      </c>
      <c r="M69" s="53">
        <f t="shared" si="3"/>
        <v>9.474478787878788E-3</v>
      </c>
    </row>
    <row r="70" spans="1:13" ht="21.75" customHeight="1" x14ac:dyDescent="0.25">
      <c r="A70" s="72"/>
      <c r="B70" s="33" t="s">
        <v>125</v>
      </c>
      <c r="C70" s="930" t="s">
        <v>175</v>
      </c>
      <c r="D70" s="930"/>
      <c r="E70" s="930"/>
      <c r="F70" s="930"/>
      <c r="G70" s="930"/>
      <c r="H70" s="930"/>
      <c r="I70" s="930"/>
      <c r="J70" s="930"/>
      <c r="K70" s="147">
        <f>0.5*K45*K68</f>
        <v>1.6666666666666666E-4</v>
      </c>
      <c r="L70" s="66">
        <f t="shared" si="2"/>
        <v>3.789791515151515E-3</v>
      </c>
      <c r="M70" s="53">
        <f t="shared" si="3"/>
        <v>4.737239393939394E-3</v>
      </c>
    </row>
    <row r="71" spans="1:13" ht="21.75" customHeight="1" x14ac:dyDescent="0.25">
      <c r="A71" s="72"/>
      <c r="B71" s="33" t="s">
        <v>130</v>
      </c>
      <c r="C71" s="930" t="s">
        <v>176</v>
      </c>
      <c r="D71" s="930"/>
      <c r="E71" s="930"/>
      <c r="F71" s="930"/>
      <c r="G71" s="930"/>
      <c r="H71" s="930"/>
      <c r="I71" s="930"/>
      <c r="J71" s="930"/>
      <c r="K71" s="76">
        <f>7/30/L9</f>
        <v>1.9444444444444445E-2</v>
      </c>
      <c r="L71" s="66">
        <f t="shared" si="2"/>
        <v>0.44214234343434344</v>
      </c>
      <c r="M71" s="53">
        <f t="shared" si="3"/>
        <v>0.55267792929292925</v>
      </c>
    </row>
    <row r="72" spans="1:13" ht="21.75" customHeight="1" x14ac:dyDescent="0.25">
      <c r="A72" s="72"/>
      <c r="B72" s="33" t="s">
        <v>133</v>
      </c>
      <c r="C72" s="930" t="s">
        <v>177</v>
      </c>
      <c r="D72" s="930"/>
      <c r="E72" s="930"/>
      <c r="F72" s="930"/>
      <c r="G72" s="930"/>
      <c r="H72" s="930"/>
      <c r="I72" s="930"/>
      <c r="J72" s="930"/>
      <c r="K72" s="77">
        <f>0.5*K45*K71</f>
        <v>7.7777777777777784E-4</v>
      </c>
      <c r="L72" s="66">
        <f t="shared" si="2"/>
        <v>1.7685693737373741E-2</v>
      </c>
      <c r="M72" s="53">
        <f t="shared" si="3"/>
        <v>2.2107117171717174E-2</v>
      </c>
    </row>
    <row r="73" spans="1:13" ht="21.75" customHeight="1" x14ac:dyDescent="0.25">
      <c r="A73" s="72"/>
      <c r="B73" s="33" t="s">
        <v>135</v>
      </c>
      <c r="C73" s="930" t="s">
        <v>178</v>
      </c>
      <c r="D73" s="930"/>
      <c r="E73" s="930"/>
      <c r="F73" s="930"/>
      <c r="G73" s="930"/>
      <c r="H73" s="930"/>
      <c r="I73" s="930"/>
      <c r="J73" s="930"/>
      <c r="K73" s="77">
        <v>0.05</v>
      </c>
      <c r="L73" s="66">
        <f t="shared" si="2"/>
        <v>1.1369374545454547</v>
      </c>
      <c r="M73" s="53">
        <f t="shared" si="3"/>
        <v>1.4211718181818183</v>
      </c>
    </row>
    <row r="74" spans="1:13" ht="21.75" customHeight="1" x14ac:dyDescent="0.25">
      <c r="A74" s="72"/>
      <c r="B74" s="33" t="s">
        <v>153</v>
      </c>
      <c r="C74" s="930" t="s">
        <v>179</v>
      </c>
      <c r="D74" s="930"/>
      <c r="E74" s="930"/>
      <c r="F74" s="930"/>
      <c r="G74" s="930"/>
      <c r="H74" s="930"/>
      <c r="I74" s="930"/>
      <c r="J74" s="930"/>
      <c r="K74" s="77">
        <f>(K68+K69+K70+K71+K72+K73)*K39</f>
        <v>2.7559111111111121E-2</v>
      </c>
      <c r="L74" s="66">
        <f t="shared" si="2"/>
        <v>0.62665971272404064</v>
      </c>
      <c r="M74" s="53">
        <f t="shared" si="3"/>
        <v>0.78332464090505072</v>
      </c>
    </row>
    <row r="75" spans="1:13" ht="21.75" customHeight="1" x14ac:dyDescent="0.25">
      <c r="A75" s="72"/>
      <c r="B75" s="912" t="s">
        <v>162</v>
      </c>
      <c r="C75" s="912"/>
      <c r="D75" s="912"/>
      <c r="E75" s="912"/>
      <c r="F75" s="912"/>
      <c r="G75" s="912"/>
      <c r="H75" s="912"/>
      <c r="I75" s="912"/>
      <c r="J75" s="912"/>
      <c r="K75" s="78"/>
      <c r="L75" s="79">
        <f>L68+L69+L70+L71+L72+L73+L74</f>
        <v>2.3295393668654549</v>
      </c>
      <c r="M75" s="145">
        <f>SUM(M68:M74)</f>
        <v>2.9119242085818184</v>
      </c>
    </row>
    <row r="76" spans="1:13" ht="21.75" customHeight="1" x14ac:dyDescent="0.25">
      <c r="A76" s="72"/>
      <c r="B76" s="915"/>
      <c r="C76" s="915"/>
      <c r="D76" s="915"/>
      <c r="E76" s="915"/>
      <c r="F76" s="915"/>
      <c r="G76" s="915"/>
      <c r="H76" s="915"/>
      <c r="I76" s="915"/>
      <c r="J76" s="915"/>
      <c r="K76" s="915"/>
      <c r="L76" s="915"/>
    </row>
    <row r="77" spans="1:13" ht="21.75" customHeight="1" x14ac:dyDescent="0.25">
      <c r="A77" s="72"/>
      <c r="B77" s="916" t="s">
        <v>275</v>
      </c>
      <c r="C77" s="916"/>
      <c r="D77" s="916"/>
      <c r="E77" s="916"/>
      <c r="F77" s="916"/>
      <c r="G77" s="916"/>
      <c r="H77" s="916"/>
      <c r="I77" s="916"/>
      <c r="J77" s="916"/>
      <c r="K77" s="916"/>
      <c r="L77" s="916"/>
    </row>
    <row r="78" spans="1:13" ht="21.75" customHeight="1" x14ac:dyDescent="0.25">
      <c r="A78" s="72"/>
      <c r="B78" s="916" t="s">
        <v>276</v>
      </c>
      <c r="C78" s="916"/>
      <c r="D78" s="916"/>
      <c r="E78" s="916"/>
      <c r="F78" s="916"/>
      <c r="G78" s="916"/>
      <c r="H78" s="916"/>
      <c r="I78" s="916"/>
      <c r="J78" s="916"/>
      <c r="K78" s="916"/>
      <c r="L78" s="916"/>
    </row>
    <row r="79" spans="1:13" ht="21.75" customHeight="1" x14ac:dyDescent="0.25">
      <c r="A79" s="72"/>
      <c r="B79" s="33" t="s">
        <v>120</v>
      </c>
      <c r="C79" s="928" t="s">
        <v>182</v>
      </c>
      <c r="D79" s="928"/>
      <c r="E79" s="928"/>
      <c r="F79" s="928"/>
      <c r="G79" s="928"/>
      <c r="H79" s="928"/>
      <c r="I79" s="928"/>
      <c r="J79" s="928"/>
      <c r="K79" s="77">
        <v>0.121</v>
      </c>
      <c r="L79" s="80">
        <f t="shared" ref="L79:L86" si="4">K79*$L$29</f>
        <v>2.7513886400000001</v>
      </c>
      <c r="M79" s="53">
        <f t="shared" ref="M79:M86" si="5">$M$29*$K79</f>
        <v>3.4392357999999996</v>
      </c>
    </row>
    <row r="80" spans="1:13" ht="21.75" customHeight="1" x14ac:dyDescent="0.25">
      <c r="A80" s="72"/>
      <c r="B80" s="33" t="s">
        <v>122</v>
      </c>
      <c r="C80" s="928" t="s">
        <v>183</v>
      </c>
      <c r="D80" s="928"/>
      <c r="E80" s="928"/>
      <c r="F80" s="2" t="s">
        <v>184</v>
      </c>
      <c r="G80" s="3">
        <f>OFICIAL!G76</f>
        <v>5</v>
      </c>
      <c r="H80" s="928" t="s">
        <v>185</v>
      </c>
      <c r="I80" s="928"/>
      <c r="J80" s="148">
        <f>OFICIAL!J76</f>
        <v>1</v>
      </c>
      <c r="K80" s="81">
        <v>0</v>
      </c>
      <c r="L80" s="80">
        <f t="shared" si="4"/>
        <v>0</v>
      </c>
      <c r="M80" s="53">
        <f t="shared" si="5"/>
        <v>0</v>
      </c>
    </row>
    <row r="81" spans="1:13" ht="21.75" customHeight="1" x14ac:dyDescent="0.25">
      <c r="A81" s="72"/>
      <c r="B81" s="33" t="s">
        <v>122</v>
      </c>
      <c r="C81" s="928" t="s">
        <v>186</v>
      </c>
      <c r="D81" s="928"/>
      <c r="E81" s="928"/>
      <c r="F81" s="2" t="s">
        <v>184</v>
      </c>
      <c r="G81" s="3">
        <f>OFICIAL!G77</f>
        <v>5</v>
      </c>
      <c r="H81" s="928" t="s">
        <v>185</v>
      </c>
      <c r="I81" s="928"/>
      <c r="J81" s="148">
        <f>OFICIAL!J77</f>
        <v>1</v>
      </c>
      <c r="K81" s="81">
        <v>0</v>
      </c>
      <c r="L81" s="80">
        <f t="shared" si="4"/>
        <v>0</v>
      </c>
      <c r="M81" s="53">
        <f t="shared" si="5"/>
        <v>0</v>
      </c>
    </row>
    <row r="82" spans="1:13" ht="21.75" customHeight="1" x14ac:dyDescent="0.25">
      <c r="A82" s="72"/>
      <c r="B82" s="33" t="s">
        <v>125</v>
      </c>
      <c r="C82" s="928" t="s">
        <v>187</v>
      </c>
      <c r="D82" s="928"/>
      <c r="E82" s="928"/>
      <c r="F82" s="2" t="s">
        <v>184</v>
      </c>
      <c r="G82" s="3">
        <f>OFICIAL!G78</f>
        <v>5</v>
      </c>
      <c r="H82" s="928" t="s">
        <v>185</v>
      </c>
      <c r="I82" s="928"/>
      <c r="J82" s="149">
        <f>OFICIAL!J78</f>
        <v>1.4999999999999999E-2</v>
      </c>
      <c r="K82" s="81">
        <v>0</v>
      </c>
      <c r="L82" s="80">
        <f t="shared" si="4"/>
        <v>0</v>
      </c>
      <c r="M82" s="53">
        <f t="shared" si="5"/>
        <v>0</v>
      </c>
    </row>
    <row r="83" spans="1:13" ht="21.75" customHeight="1" x14ac:dyDescent="0.25">
      <c r="A83" s="72"/>
      <c r="B83" s="33" t="s">
        <v>130</v>
      </c>
      <c r="C83" s="928" t="s">
        <v>188</v>
      </c>
      <c r="D83" s="928"/>
      <c r="E83" s="928"/>
      <c r="F83" s="2" t="s">
        <v>184</v>
      </c>
      <c r="G83" s="3">
        <f>OFICIAL!G79</f>
        <v>2</v>
      </c>
      <c r="H83" s="928" t="s">
        <v>185</v>
      </c>
      <c r="I83" s="928"/>
      <c r="J83" s="82">
        <f>OFICIAL!J79</f>
        <v>0.01</v>
      </c>
      <c r="K83" s="81">
        <v>0</v>
      </c>
      <c r="L83" s="80">
        <f t="shared" si="4"/>
        <v>0</v>
      </c>
      <c r="M83" s="53">
        <f t="shared" si="5"/>
        <v>0</v>
      </c>
    </row>
    <row r="84" spans="1:13" ht="21.75" customHeight="1" x14ac:dyDescent="0.25">
      <c r="A84" s="72"/>
      <c r="B84" s="33" t="s">
        <v>132</v>
      </c>
      <c r="C84" s="928" t="s">
        <v>189</v>
      </c>
      <c r="D84" s="928"/>
      <c r="E84" s="928"/>
      <c r="F84" s="2" t="s">
        <v>184</v>
      </c>
      <c r="G84" s="3">
        <f>OFICIAL!G80</f>
        <v>0</v>
      </c>
      <c r="H84" s="928" t="s">
        <v>185</v>
      </c>
      <c r="I84" s="928"/>
      <c r="J84" s="148">
        <f>OFICIAL!J80</f>
        <v>0.02</v>
      </c>
      <c r="K84" s="81">
        <v>0</v>
      </c>
      <c r="L84" s="80">
        <f t="shared" si="4"/>
        <v>0</v>
      </c>
      <c r="M84" s="53">
        <f t="shared" si="5"/>
        <v>0</v>
      </c>
    </row>
    <row r="85" spans="1:13" ht="21.75" customHeight="1" x14ac:dyDescent="0.25">
      <c r="A85" s="72"/>
      <c r="B85" s="33" t="s">
        <v>133</v>
      </c>
      <c r="C85" s="928" t="str">
        <f>OFICIAL!C81</f>
        <v>Outros (especificar)</v>
      </c>
      <c r="D85" s="928"/>
      <c r="E85" s="928"/>
      <c r="F85" s="2" t="s">
        <v>184</v>
      </c>
      <c r="G85" s="3">
        <f>OFICIAL!G81</f>
        <v>0</v>
      </c>
      <c r="H85" s="928" t="s">
        <v>185</v>
      </c>
      <c r="I85" s="928"/>
      <c r="J85" s="3">
        <f>OFICIAL!J81</f>
        <v>0</v>
      </c>
      <c r="K85" s="81">
        <v>0</v>
      </c>
      <c r="L85" s="80">
        <f t="shared" si="4"/>
        <v>0</v>
      </c>
      <c r="M85" s="53">
        <f t="shared" si="5"/>
        <v>0</v>
      </c>
    </row>
    <row r="86" spans="1:13" ht="21.75" customHeight="1" x14ac:dyDescent="0.25">
      <c r="A86" s="72"/>
      <c r="B86" s="33" t="s">
        <v>135</v>
      </c>
      <c r="C86" s="928" t="s">
        <v>190</v>
      </c>
      <c r="D86" s="928"/>
      <c r="E86" s="928"/>
      <c r="F86" s="928"/>
      <c r="G86" s="928"/>
      <c r="H86" s="928"/>
      <c r="I86" s="928"/>
      <c r="J86" s="928"/>
      <c r="K86" s="76">
        <v>0</v>
      </c>
      <c r="L86" s="80">
        <f t="shared" si="4"/>
        <v>0</v>
      </c>
      <c r="M86" s="53">
        <f t="shared" si="5"/>
        <v>0</v>
      </c>
    </row>
    <row r="87" spans="1:13" ht="21.75" customHeight="1" x14ac:dyDescent="0.25">
      <c r="A87" s="72"/>
      <c r="B87" s="912" t="s">
        <v>162</v>
      </c>
      <c r="C87" s="912"/>
      <c r="D87" s="912"/>
      <c r="E87" s="912"/>
      <c r="F87" s="912"/>
      <c r="G87" s="912"/>
      <c r="H87" s="912"/>
      <c r="I87" s="912"/>
      <c r="J87" s="912"/>
      <c r="K87" s="82">
        <f>SUM(K79:K86)</f>
        <v>0.121</v>
      </c>
      <c r="L87" s="83">
        <f>SUM(L79:L86)</f>
        <v>2.7513886400000001</v>
      </c>
      <c r="M87" s="145">
        <f>SUM(M79:M86)</f>
        <v>3.4392357999999996</v>
      </c>
    </row>
    <row r="88" spans="1:13" ht="21.75" customHeight="1" x14ac:dyDescent="0.25">
      <c r="A88" s="72"/>
      <c r="B88" s="915"/>
      <c r="C88" s="915"/>
      <c r="D88" s="915"/>
      <c r="E88" s="915"/>
      <c r="F88" s="915"/>
      <c r="G88" s="915"/>
      <c r="H88" s="915"/>
      <c r="I88" s="915"/>
      <c r="J88" s="915"/>
      <c r="K88" s="915"/>
      <c r="L88" s="915"/>
    </row>
    <row r="89" spans="1:13" ht="21.75" customHeight="1" x14ac:dyDescent="0.25">
      <c r="A89" s="72"/>
      <c r="B89" s="916" t="s">
        <v>191</v>
      </c>
      <c r="C89" s="916"/>
      <c r="D89" s="916"/>
      <c r="E89" s="916"/>
      <c r="F89" s="916"/>
      <c r="G89" s="916"/>
      <c r="H89" s="916"/>
      <c r="I89" s="916"/>
      <c r="J89" s="916"/>
      <c r="K89" s="916"/>
      <c r="L89" s="916"/>
    </row>
    <row r="90" spans="1:13" ht="21.75" customHeight="1" x14ac:dyDescent="0.25">
      <c r="A90" s="72"/>
      <c r="B90" s="33" t="s">
        <v>120</v>
      </c>
      <c r="C90" s="928" t="s">
        <v>192</v>
      </c>
      <c r="D90" s="928"/>
      <c r="E90" s="928"/>
      <c r="F90" s="928"/>
      <c r="G90" s="928"/>
      <c r="H90" s="928"/>
      <c r="I90" s="928"/>
      <c r="J90" s="928"/>
      <c r="K90" s="2"/>
      <c r="L90" s="83"/>
    </row>
    <row r="91" spans="1:13" ht="21.75" customHeight="1" x14ac:dyDescent="0.25">
      <c r="A91" s="72"/>
      <c r="B91" s="33"/>
      <c r="C91" s="928" t="s">
        <v>193</v>
      </c>
      <c r="D91" s="928"/>
      <c r="E91" s="928"/>
      <c r="F91" s="928"/>
      <c r="G91" s="928"/>
      <c r="H91" s="928"/>
      <c r="I91" s="928"/>
      <c r="J91" s="928"/>
      <c r="K91" s="2"/>
      <c r="L91" s="83"/>
    </row>
    <row r="92" spans="1:13" ht="21.75" customHeight="1" x14ac:dyDescent="0.25">
      <c r="A92" s="72"/>
      <c r="B92" s="33"/>
      <c r="C92" s="928" t="s">
        <v>162</v>
      </c>
      <c r="D92" s="928"/>
      <c r="E92" s="928"/>
      <c r="F92" s="928"/>
      <c r="G92" s="928"/>
      <c r="H92" s="928"/>
      <c r="I92" s="928"/>
      <c r="J92" s="928"/>
      <c r="K92" s="2"/>
      <c r="L92" s="83"/>
    </row>
    <row r="93" spans="1:13" ht="21.75" customHeight="1" x14ac:dyDescent="0.25">
      <c r="A93" s="72"/>
      <c r="B93" s="915"/>
      <c r="C93" s="915"/>
      <c r="D93" s="915"/>
      <c r="E93" s="915"/>
      <c r="F93" s="915"/>
      <c r="G93" s="915"/>
      <c r="H93" s="915"/>
      <c r="I93" s="915"/>
      <c r="J93" s="915"/>
      <c r="K93" s="915"/>
      <c r="L93" s="915"/>
    </row>
    <row r="94" spans="1:13" ht="21.75" customHeight="1" x14ac:dyDescent="0.25">
      <c r="A94" s="72"/>
      <c r="B94" s="916" t="s">
        <v>194</v>
      </c>
      <c r="C94" s="916"/>
      <c r="D94" s="916"/>
      <c r="E94" s="916"/>
      <c r="F94" s="916"/>
      <c r="G94" s="916"/>
      <c r="H94" s="916"/>
      <c r="I94" s="916"/>
      <c r="J94" s="916"/>
      <c r="K94" s="916"/>
      <c r="L94" s="916"/>
    </row>
    <row r="95" spans="1:13" ht="21.75" customHeight="1" x14ac:dyDescent="0.25">
      <c r="A95" s="72"/>
      <c r="B95" s="33" t="s">
        <v>195</v>
      </c>
      <c r="C95" s="931" t="s">
        <v>196</v>
      </c>
      <c r="D95" s="931"/>
      <c r="E95" s="931"/>
      <c r="F95" s="931"/>
      <c r="G95" s="931"/>
      <c r="H95" s="931"/>
      <c r="I95" s="931"/>
      <c r="J95" s="931"/>
      <c r="K95" s="2"/>
      <c r="L95" s="83">
        <f>L87</f>
        <v>2.7513886400000001</v>
      </c>
      <c r="M95" s="144">
        <f>M87</f>
        <v>3.4392357999999996</v>
      </c>
    </row>
    <row r="96" spans="1:13" ht="21.75" customHeight="1" x14ac:dyDescent="0.25">
      <c r="A96" s="72"/>
      <c r="B96" s="33" t="s">
        <v>197</v>
      </c>
      <c r="C96" s="931" t="s">
        <v>198</v>
      </c>
      <c r="D96" s="931"/>
      <c r="E96" s="931"/>
      <c r="F96" s="931"/>
      <c r="G96" s="931"/>
      <c r="H96" s="931"/>
      <c r="I96" s="931"/>
      <c r="J96" s="931"/>
      <c r="K96" s="2"/>
      <c r="L96" s="83">
        <f>L92</f>
        <v>0</v>
      </c>
      <c r="M96" s="83">
        <f>M92</f>
        <v>0</v>
      </c>
    </row>
    <row r="97" spans="1:13" ht="21.75" customHeight="1" x14ac:dyDescent="0.25">
      <c r="A97" s="72"/>
      <c r="B97" s="33"/>
      <c r="C97" s="928" t="s">
        <v>162</v>
      </c>
      <c r="D97" s="928"/>
      <c r="E97" s="928"/>
      <c r="F97" s="928"/>
      <c r="G97" s="928"/>
      <c r="H97" s="928"/>
      <c r="I97" s="928"/>
      <c r="J97" s="928"/>
      <c r="K97" s="2"/>
      <c r="L97" s="83">
        <f>L95+L96</f>
        <v>2.7513886400000001</v>
      </c>
      <c r="M97" s="144">
        <f>SUM(M95:M96)</f>
        <v>3.4392357999999996</v>
      </c>
    </row>
    <row r="98" spans="1:13" ht="21.75" customHeight="1" x14ac:dyDescent="0.25">
      <c r="A98" s="72"/>
      <c r="B98" s="932"/>
      <c r="C98" s="932"/>
      <c r="D98" s="932"/>
      <c r="E98" s="932"/>
      <c r="F98" s="932"/>
      <c r="G98" s="932"/>
      <c r="H98" s="932"/>
      <c r="I98" s="932"/>
      <c r="J98" s="932"/>
      <c r="K98" s="932"/>
      <c r="L98" s="932"/>
    </row>
    <row r="99" spans="1:13" ht="21.75" customHeight="1" x14ac:dyDescent="0.25">
      <c r="A99" s="20"/>
      <c r="B99" s="933" t="s">
        <v>199</v>
      </c>
      <c r="C99" s="933"/>
      <c r="D99" s="933"/>
      <c r="E99" s="933"/>
      <c r="F99" s="933"/>
      <c r="G99" s="85"/>
      <c r="H99" s="85"/>
      <c r="I99" s="85"/>
      <c r="J99" s="85"/>
      <c r="K99" s="85"/>
      <c r="L99" s="86" t="s">
        <v>200</v>
      </c>
    </row>
    <row r="100" spans="1:13" ht="21.75" customHeight="1" x14ac:dyDescent="0.25">
      <c r="A100" s="20"/>
      <c r="B100" s="33" t="s">
        <v>120</v>
      </c>
      <c r="C100" s="926" t="s">
        <v>201</v>
      </c>
      <c r="D100" s="926"/>
      <c r="E100" s="926"/>
      <c r="F100" s="926"/>
      <c r="G100" s="926"/>
      <c r="H100" s="926"/>
      <c r="I100" s="926"/>
      <c r="J100" s="926"/>
      <c r="K100" s="926"/>
      <c r="L100" s="34">
        <v>0</v>
      </c>
    </row>
    <row r="101" spans="1:13" ht="21.75" customHeight="1" x14ac:dyDescent="0.25">
      <c r="A101" s="20"/>
      <c r="B101" s="33" t="s">
        <v>122</v>
      </c>
      <c r="C101" s="922" t="s">
        <v>277</v>
      </c>
      <c r="D101" s="922"/>
      <c r="E101" s="922"/>
      <c r="F101" s="922"/>
      <c r="G101" s="922"/>
      <c r="H101" s="922"/>
      <c r="I101" s="922"/>
      <c r="J101" s="922"/>
      <c r="K101" s="922"/>
      <c r="L101" s="34">
        <v>0</v>
      </c>
    </row>
    <row r="102" spans="1:13" ht="21.75" customHeight="1" x14ac:dyDescent="0.25">
      <c r="A102" s="20"/>
      <c r="B102" s="912" t="s">
        <v>125</v>
      </c>
      <c r="C102" s="934" t="s">
        <v>136</v>
      </c>
      <c r="D102" s="934"/>
      <c r="E102" s="935" t="s">
        <v>203</v>
      </c>
      <c r="F102" s="935"/>
      <c r="G102" s="935"/>
      <c r="H102" s="935"/>
      <c r="I102" s="935"/>
      <c r="J102" s="935"/>
      <c r="K102" s="935"/>
      <c r="L102" s="34">
        <f>K102*L29</f>
        <v>0</v>
      </c>
    </row>
    <row r="103" spans="1:13" ht="21.75" customHeight="1" x14ac:dyDescent="0.25">
      <c r="A103" s="20"/>
      <c r="B103" s="912"/>
      <c r="C103" s="934"/>
      <c r="D103" s="934"/>
      <c r="E103" s="936" t="s">
        <v>203</v>
      </c>
      <c r="F103" s="936"/>
      <c r="G103" s="936"/>
      <c r="H103" s="936"/>
      <c r="I103" s="936"/>
      <c r="J103" s="936"/>
      <c r="K103" s="936"/>
      <c r="L103" s="34">
        <f>K103*L29</f>
        <v>0</v>
      </c>
    </row>
    <row r="104" spans="1:13" s="73" customFormat="1" ht="21.75" customHeight="1" x14ac:dyDescent="0.25">
      <c r="A104" s="72"/>
      <c r="B104" s="87" t="s">
        <v>204</v>
      </c>
      <c r="C104" s="24"/>
      <c r="D104" s="24"/>
      <c r="E104" s="24"/>
      <c r="F104" s="24"/>
      <c r="G104" s="24"/>
      <c r="H104" s="24"/>
      <c r="I104" s="24"/>
      <c r="J104" s="24"/>
      <c r="K104" s="24"/>
      <c r="L104" s="88">
        <f>SUM(L100:L103)</f>
        <v>0</v>
      </c>
    </row>
    <row r="105" spans="1:13" s="73" customFormat="1" ht="21.75" customHeight="1" x14ac:dyDescent="0.25">
      <c r="A105" s="72"/>
      <c r="B105" s="87"/>
      <c r="C105" s="24"/>
      <c r="D105" s="24"/>
      <c r="E105" s="24"/>
      <c r="F105" s="24"/>
      <c r="G105" s="24"/>
      <c r="H105" s="24"/>
      <c r="I105" s="24"/>
      <c r="J105" s="24"/>
      <c r="K105" s="24"/>
      <c r="L105" s="88"/>
    </row>
    <row r="106" spans="1:13" ht="21.75" customHeight="1" x14ac:dyDescent="0.25">
      <c r="A106" s="72"/>
      <c r="B106" s="937" t="s">
        <v>205</v>
      </c>
      <c r="C106" s="937"/>
      <c r="D106" s="937"/>
      <c r="E106" s="937"/>
      <c r="F106" s="937"/>
      <c r="G106" s="937"/>
      <c r="H106" s="937"/>
      <c r="I106" s="937"/>
      <c r="J106" s="937"/>
      <c r="K106" s="937"/>
      <c r="L106" s="937"/>
    </row>
    <row r="107" spans="1:13" ht="21.75" customHeight="1" x14ac:dyDescent="0.25">
      <c r="A107" s="72"/>
      <c r="B107" s="938" t="s">
        <v>206</v>
      </c>
      <c r="C107" s="938"/>
      <c r="D107" s="938"/>
      <c r="E107" s="938"/>
      <c r="F107" s="938"/>
      <c r="G107" s="938"/>
      <c r="H107" s="938"/>
      <c r="I107" s="938"/>
      <c r="J107" s="938"/>
      <c r="K107" s="938"/>
      <c r="L107" s="86" t="s">
        <v>200</v>
      </c>
    </row>
    <row r="108" spans="1:13" ht="21.75" customHeight="1" x14ac:dyDescent="0.25">
      <c r="A108" s="72"/>
      <c r="B108" s="89" t="s">
        <v>120</v>
      </c>
      <c r="C108" s="939" t="s">
        <v>119</v>
      </c>
      <c r="D108" s="939"/>
      <c r="E108" s="939"/>
      <c r="F108" s="939"/>
      <c r="G108" s="939"/>
      <c r="H108" s="939"/>
      <c r="I108" s="939"/>
      <c r="J108" s="939"/>
      <c r="K108" s="939"/>
      <c r="L108" s="34">
        <f>L29</f>
        <v>22.738749090909092</v>
      </c>
      <c r="M108" s="145">
        <f>M29</f>
        <v>28.423436363636363</v>
      </c>
    </row>
    <row r="109" spans="1:13" ht="21.75" customHeight="1" x14ac:dyDescent="0.25">
      <c r="A109" s="72"/>
      <c r="B109" s="89" t="s">
        <v>122</v>
      </c>
      <c r="C109" s="939" t="s">
        <v>207</v>
      </c>
      <c r="D109" s="939"/>
      <c r="E109" s="939"/>
      <c r="F109" s="939"/>
      <c r="G109" s="939"/>
      <c r="H109" s="939"/>
      <c r="I109" s="939"/>
      <c r="J109" s="939"/>
      <c r="K109" s="939"/>
      <c r="L109" s="34">
        <f>L65</f>
        <v>14.722939834379639</v>
      </c>
      <c r="M109" s="145">
        <f>M65</f>
        <v>18.403674792974549</v>
      </c>
    </row>
    <row r="110" spans="1:13" ht="21.75" customHeight="1" x14ac:dyDescent="0.25">
      <c r="A110" s="72"/>
      <c r="B110" s="89" t="s">
        <v>125</v>
      </c>
      <c r="C110" s="90" t="s">
        <v>170</v>
      </c>
      <c r="D110" s="22"/>
      <c r="E110" s="22"/>
      <c r="F110" s="22"/>
      <c r="G110" s="22"/>
      <c r="H110" s="22"/>
      <c r="I110" s="22"/>
      <c r="J110" s="22"/>
      <c r="K110" s="22"/>
      <c r="L110" s="34">
        <f>L75</f>
        <v>2.3295393668654549</v>
      </c>
      <c r="M110" s="145">
        <f>M75</f>
        <v>2.9119242085818184</v>
      </c>
    </row>
    <row r="111" spans="1:13" ht="21.75" customHeight="1" x14ac:dyDescent="0.25">
      <c r="A111" s="72"/>
      <c r="B111" s="89" t="s">
        <v>130</v>
      </c>
      <c r="C111" s="90" t="s">
        <v>180</v>
      </c>
      <c r="D111" s="22"/>
      <c r="E111" s="22"/>
      <c r="F111" s="22"/>
      <c r="G111" s="22"/>
      <c r="H111" s="22"/>
      <c r="I111" s="22"/>
      <c r="J111" s="22"/>
      <c r="K111" s="22"/>
      <c r="L111" s="34">
        <f>L97</f>
        <v>2.7513886400000001</v>
      </c>
      <c r="M111" s="145">
        <f>M97</f>
        <v>3.4392357999999996</v>
      </c>
    </row>
    <row r="112" spans="1:13" ht="21.75" customHeight="1" x14ac:dyDescent="0.25">
      <c r="A112" s="72"/>
      <c r="B112" s="89" t="s">
        <v>132</v>
      </c>
      <c r="C112" s="90" t="s">
        <v>208</v>
      </c>
      <c r="D112" s="22"/>
      <c r="E112" s="22"/>
      <c r="F112" s="22"/>
      <c r="G112" s="22"/>
      <c r="H112" s="22"/>
      <c r="I112" s="22"/>
      <c r="J112" s="20"/>
      <c r="K112" s="20"/>
      <c r="L112" s="34">
        <f>L104</f>
        <v>0</v>
      </c>
      <c r="M112" s="145">
        <f>M104</f>
        <v>0</v>
      </c>
    </row>
    <row r="113" spans="1:13" ht="21.75" customHeight="1" x14ac:dyDescent="0.25">
      <c r="A113" s="20"/>
      <c r="B113" s="938" t="s">
        <v>209</v>
      </c>
      <c r="C113" s="938"/>
      <c r="D113" s="938"/>
      <c r="E113" s="938"/>
      <c r="F113" s="938"/>
      <c r="G113" s="938"/>
      <c r="H113" s="938"/>
      <c r="I113" s="938"/>
      <c r="J113" s="938"/>
      <c r="K113" s="938"/>
      <c r="L113" s="88">
        <f>SUM(L108:L112)</f>
        <v>42.542616932154189</v>
      </c>
      <c r="M113" s="145">
        <f>SUM(M108:M112)</f>
        <v>53.178271165192726</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150"/>
      <c r="J116" s="150"/>
      <c r="K116" s="60">
        <f>OFICIAL!K112</f>
        <v>0.06</v>
      </c>
      <c r="L116" s="34">
        <f>L113*K116</f>
        <v>2.5525570159292514</v>
      </c>
      <c r="M116" s="34">
        <f>M113*K116</f>
        <v>3.1906962699115633</v>
      </c>
    </row>
    <row r="117" spans="1:13" ht="21.75" customHeight="1" x14ac:dyDescent="0.25">
      <c r="A117" s="20"/>
      <c r="B117" s="89" t="s">
        <v>122</v>
      </c>
      <c r="C117" s="22" t="s">
        <v>212</v>
      </c>
      <c r="D117" s="22"/>
      <c r="E117" s="22"/>
      <c r="F117" s="22"/>
      <c r="G117" s="22"/>
      <c r="H117" s="22"/>
      <c r="I117" s="150"/>
      <c r="J117" s="151"/>
      <c r="K117" s="60">
        <f>OFICIAL!K113</f>
        <v>6.7900000000000002E-2</v>
      </c>
      <c r="L117" s="34">
        <f>(L113+L116)*K117</f>
        <v>3.0619623110748657</v>
      </c>
      <c r="M117" s="34">
        <f>(M113+M116)*K117</f>
        <v>3.8274528888435815</v>
      </c>
    </row>
    <row r="118" spans="1:13" ht="21.75" customHeight="1" x14ac:dyDescent="0.25">
      <c r="A118" s="20"/>
      <c r="B118" s="941" t="s">
        <v>125</v>
      </c>
      <c r="C118" s="22" t="s">
        <v>213</v>
      </c>
      <c r="D118" s="22"/>
      <c r="E118" s="22"/>
      <c r="F118" s="22"/>
      <c r="G118" s="22"/>
      <c r="H118" s="22"/>
      <c r="I118" s="150"/>
      <c r="J118" s="152" t="s">
        <v>60</v>
      </c>
      <c r="K118" s="942">
        <f>SUM(J119:J121)</f>
        <v>9.6500000000000002E-2</v>
      </c>
      <c r="L118" s="943">
        <f>K118*L124</f>
        <v>5.1435126165011367</v>
      </c>
      <c r="M118" s="943">
        <f>K118*M124</f>
        <v>6.4293907706264193</v>
      </c>
    </row>
    <row r="119" spans="1:13" ht="21.75" customHeight="1" x14ac:dyDescent="0.25">
      <c r="A119" s="20"/>
      <c r="B119" s="941"/>
      <c r="C119" s="37"/>
      <c r="D119" s="944" t="s">
        <v>214</v>
      </c>
      <c r="E119" s="944"/>
      <c r="F119" s="944"/>
      <c r="G119" s="93" t="s">
        <v>215</v>
      </c>
      <c r="H119" s="94"/>
      <c r="I119" s="154"/>
      <c r="J119" s="153">
        <f>OFICIAL!J115</f>
        <v>1.6500000000000001E-2</v>
      </c>
      <c r="K119" s="942"/>
      <c r="L119" s="943"/>
      <c r="M119" s="943"/>
    </row>
    <row r="120" spans="1:13" ht="21.75" customHeight="1" x14ac:dyDescent="0.25">
      <c r="A120" s="20"/>
      <c r="B120" s="941"/>
      <c r="C120" s="20"/>
      <c r="D120" s="20"/>
      <c r="E120" s="20"/>
      <c r="F120" s="20"/>
      <c r="G120" s="93" t="s">
        <v>216</v>
      </c>
      <c r="H120" s="94"/>
      <c r="I120" s="154"/>
      <c r="J120" s="153">
        <f>OFICIAL!J116</f>
        <v>0.03</v>
      </c>
      <c r="K120" s="942"/>
      <c r="L120" s="943"/>
      <c r="M120" s="943"/>
    </row>
    <row r="121" spans="1:13" ht="21.75" customHeight="1" x14ac:dyDescent="0.25">
      <c r="A121" s="20"/>
      <c r="B121" s="941"/>
      <c r="C121" s="20"/>
      <c r="D121" s="944" t="s">
        <v>217</v>
      </c>
      <c r="E121" s="944"/>
      <c r="F121" s="944"/>
      <c r="G121" s="93" t="s">
        <v>218</v>
      </c>
      <c r="H121" s="94"/>
      <c r="I121" s="154"/>
      <c r="J121" s="153">
        <f>OFICIAL!J117</f>
        <v>0.05</v>
      </c>
      <c r="K121" s="942"/>
      <c r="L121" s="943"/>
      <c r="M121" s="943"/>
    </row>
    <row r="122" spans="1:13" s="73" customFormat="1" ht="21.75" customHeight="1" x14ac:dyDescent="0.25">
      <c r="A122" s="72"/>
      <c r="B122" s="21" t="s">
        <v>219</v>
      </c>
      <c r="C122" s="24"/>
      <c r="D122" s="24"/>
      <c r="E122" s="24"/>
      <c r="F122" s="24"/>
      <c r="G122" s="24"/>
      <c r="H122" s="24"/>
      <c r="I122" s="24"/>
      <c r="J122" s="97"/>
      <c r="K122" s="97"/>
      <c r="L122" s="88">
        <f>SUM(L116:L121)</f>
        <v>10.758031943505255</v>
      </c>
      <c r="M122" s="145">
        <f>SUM(M116:M121)</f>
        <v>13.447539929381565</v>
      </c>
    </row>
    <row r="123" spans="1:13" ht="9.75" customHeight="1" x14ac:dyDescent="0.25">
      <c r="A123" s="20"/>
      <c r="B123" s="27"/>
      <c r="C123" s="20"/>
      <c r="D123" s="20"/>
      <c r="E123" s="20"/>
      <c r="F123" s="20"/>
      <c r="G123" s="20"/>
      <c r="H123" s="20"/>
      <c r="I123" s="20"/>
      <c r="J123" s="20"/>
      <c r="K123" s="20"/>
      <c r="L123" s="28"/>
    </row>
    <row r="124" spans="1:13" ht="21.75" customHeight="1" x14ac:dyDescent="0.25">
      <c r="A124" s="20"/>
      <c r="B124" s="945" t="s">
        <v>278</v>
      </c>
      <c r="C124" s="945"/>
      <c r="D124" s="945"/>
      <c r="E124" s="945"/>
      <c r="F124" s="945"/>
      <c r="G124" s="945"/>
      <c r="H124" s="945"/>
      <c r="I124" s="99"/>
      <c r="J124" s="99"/>
      <c r="K124" s="99"/>
      <c r="L124" s="100">
        <f>(L113+L116+L117)/(1-K118)</f>
        <v>53.300648875659448</v>
      </c>
      <c r="M124" s="155">
        <f>(M113+M116+M117)/(1-K118)</f>
        <v>66.625811094574289</v>
      </c>
    </row>
    <row r="125" spans="1:13" ht="10.5" customHeight="1" x14ac:dyDescent="0.25">
      <c r="A125" s="20"/>
      <c r="B125" s="27"/>
      <c r="C125" s="20"/>
      <c r="D125" s="20"/>
      <c r="E125" s="20"/>
      <c r="F125" s="20"/>
      <c r="G125" s="20"/>
      <c r="H125" s="20"/>
      <c r="I125" s="20"/>
      <c r="J125" s="20"/>
      <c r="K125" s="20"/>
      <c r="L125" s="28"/>
    </row>
    <row r="126" spans="1:13" ht="21.75" customHeight="1" x14ac:dyDescent="0.25">
      <c r="A126" s="20"/>
      <c r="B126" s="946" t="s">
        <v>279</v>
      </c>
      <c r="C126" s="946"/>
      <c r="D126" s="946"/>
      <c r="E126" s="946"/>
      <c r="F126" s="946"/>
      <c r="G126" s="946"/>
      <c r="H126" s="946"/>
      <c r="I126" s="946"/>
      <c r="J126" s="946"/>
      <c r="K126" s="946"/>
      <c r="L126" s="946"/>
    </row>
    <row r="127" spans="1:13" ht="57" customHeight="1" x14ac:dyDescent="0.25">
      <c r="A127" s="20"/>
      <c r="B127" s="947" t="s">
        <v>223</v>
      </c>
      <c r="C127" s="947"/>
      <c r="D127" s="947"/>
      <c r="E127" s="948" t="s">
        <v>280</v>
      </c>
      <c r="F127" s="948"/>
      <c r="G127" s="948" t="s">
        <v>225</v>
      </c>
      <c r="H127" s="948"/>
      <c r="I127" s="948" t="s">
        <v>226</v>
      </c>
      <c r="J127" s="948"/>
      <c r="K127" s="156" t="s">
        <v>281</v>
      </c>
      <c r="L127" s="103" t="s">
        <v>282</v>
      </c>
    </row>
    <row r="128" spans="1:13" ht="21.75" customHeight="1" x14ac:dyDescent="0.25">
      <c r="A128" s="20"/>
      <c r="B128" s="950" t="s">
        <v>13</v>
      </c>
      <c r="C128" s="950"/>
      <c r="D128" s="950"/>
      <c r="E128" s="951">
        <f>L124</f>
        <v>53.300648875659448</v>
      </c>
      <c r="F128" s="951"/>
      <c r="G128" s="952">
        <v>1</v>
      </c>
      <c r="H128" s="952"/>
      <c r="I128" s="951">
        <f>G128*E128</f>
        <v>53.300648875659448</v>
      </c>
      <c r="J128" s="951"/>
      <c r="K128" s="104">
        <v>10</v>
      </c>
      <c r="L128" s="105">
        <f>ROUND(K128*I128,2)</f>
        <v>533.01</v>
      </c>
    </row>
    <row r="129" spans="1:12" ht="21.75" customHeight="1" x14ac:dyDescent="0.25">
      <c r="A129" s="20"/>
      <c r="B129" s="950" t="s">
        <v>13</v>
      </c>
      <c r="C129" s="950"/>
      <c r="D129" s="950"/>
      <c r="E129" s="951">
        <f>M124</f>
        <v>66.625811094574289</v>
      </c>
      <c r="F129" s="951"/>
      <c r="G129" s="952">
        <v>1</v>
      </c>
      <c r="H129" s="952"/>
      <c r="I129" s="951">
        <f>E129</f>
        <v>66.625811094574289</v>
      </c>
      <c r="J129" s="951"/>
      <c r="K129" s="104">
        <v>6</v>
      </c>
      <c r="L129" s="105">
        <f>ROUND(K129*I129,2)</f>
        <v>399.75</v>
      </c>
    </row>
    <row r="130" spans="1:12" ht="21.75" customHeight="1" x14ac:dyDescent="0.25">
      <c r="A130" s="20"/>
      <c r="B130" s="949" t="s">
        <v>283</v>
      </c>
      <c r="C130" s="949"/>
      <c r="D130" s="949"/>
      <c r="E130" s="949"/>
      <c r="F130" s="949"/>
      <c r="G130" s="949"/>
      <c r="H130" s="949"/>
      <c r="I130" s="949"/>
      <c r="J130" s="949"/>
      <c r="K130" s="949"/>
      <c r="L130" s="106">
        <f>SUM(L128:L129)</f>
        <v>932.76</v>
      </c>
    </row>
  </sheetData>
  <sheetProtection selectLockedCells="1" selectUnlockedCells="1"/>
  <mergeCells count="133">
    <mergeCell ref="B130:K130"/>
    <mergeCell ref="B128:D128"/>
    <mergeCell ref="E128:F128"/>
    <mergeCell ref="G128:H128"/>
    <mergeCell ref="I128:J128"/>
    <mergeCell ref="B129:D129"/>
    <mergeCell ref="E129:F129"/>
    <mergeCell ref="G129:H129"/>
    <mergeCell ref="I129:J129"/>
    <mergeCell ref="M118:M121"/>
    <mergeCell ref="D119:F119"/>
    <mergeCell ref="D121:F121"/>
    <mergeCell ref="B124:H124"/>
    <mergeCell ref="B126:L126"/>
    <mergeCell ref="B127:D127"/>
    <mergeCell ref="E127:F127"/>
    <mergeCell ref="G127:H127"/>
    <mergeCell ref="I127:J127"/>
    <mergeCell ref="B106:L106"/>
    <mergeCell ref="B107:K107"/>
    <mergeCell ref="C108:K108"/>
    <mergeCell ref="C109:K109"/>
    <mergeCell ref="B113:K113"/>
    <mergeCell ref="B114:L114"/>
    <mergeCell ref="B115:K115"/>
    <mergeCell ref="B118:B121"/>
    <mergeCell ref="K118:K121"/>
    <mergeCell ref="L118:L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3"/>
  </sheetPr>
  <dimension ref="A1:M135"/>
  <sheetViews>
    <sheetView showGridLines="0" topLeftCell="A105" zoomScaleNormal="100" workbookViewId="0">
      <selection activeCell="M118" sqref="M118"/>
    </sheetView>
  </sheetViews>
  <sheetFormatPr defaultColWidth="13.44140625" defaultRowHeight="15" x14ac:dyDescent="0.25"/>
  <cols>
    <col min="1" max="1" width="1.44140625" style="271" customWidth="1"/>
    <col min="2" max="11" width="13.44140625" style="271" customWidth="1"/>
    <col min="12" max="12" width="23.88671875" style="271" customWidth="1"/>
    <col min="13" max="16384" width="13.44140625" style="271"/>
  </cols>
  <sheetData>
    <row r="1" spans="1:12" ht="21.75" customHeight="1" thickBot="1" x14ac:dyDescent="0.3">
      <c r="A1" s="270"/>
      <c r="B1" s="768" t="s">
        <v>106</v>
      </c>
      <c r="C1" s="769"/>
      <c r="D1" s="769"/>
      <c r="E1" s="769"/>
      <c r="F1" s="769"/>
      <c r="G1" s="769"/>
      <c r="H1" s="769"/>
      <c r="I1" s="769"/>
      <c r="J1" s="954"/>
      <c r="K1" s="955"/>
      <c r="L1" s="956"/>
    </row>
    <row r="2" spans="1:12" ht="21.75" customHeight="1" x14ac:dyDescent="0.25">
      <c r="A2" s="270"/>
      <c r="B2" s="957" t="s">
        <v>2</v>
      </c>
      <c r="C2" s="958"/>
      <c r="D2" s="958"/>
      <c r="E2" s="959" t="str">
        <f>'DADOS INICIAIS'!D2</f>
        <v>16034.720017/2023-24</v>
      </c>
      <c r="F2" s="959"/>
      <c r="G2" s="959"/>
      <c r="H2" s="959"/>
      <c r="I2" s="959"/>
      <c r="J2" s="960"/>
      <c r="K2" s="955"/>
      <c r="L2" s="956"/>
    </row>
    <row r="3" spans="1:12" ht="21.75" customHeight="1" x14ac:dyDescent="0.25">
      <c r="A3" s="270"/>
      <c r="B3" s="724" t="s">
        <v>3</v>
      </c>
      <c r="C3" s="725"/>
      <c r="D3" s="725"/>
      <c r="E3" s="728" t="str">
        <f>'DADOS INICIAIS'!D3</f>
        <v>Pregão DRF/JUN nº 10/2023</v>
      </c>
      <c r="F3" s="728"/>
      <c r="G3" s="728"/>
      <c r="H3" s="728"/>
      <c r="I3" s="728"/>
      <c r="J3" s="729"/>
      <c r="K3" s="955"/>
      <c r="L3" s="956"/>
    </row>
    <row r="4" spans="1:12" ht="21.75" customHeight="1" thickBot="1" x14ac:dyDescent="0.3">
      <c r="A4" s="270"/>
      <c r="B4" s="961" t="s">
        <v>4</v>
      </c>
      <c r="C4" s="962"/>
      <c r="D4" s="962"/>
      <c r="E4" s="963" t="str">
        <f>'DADOS INICIAIS'!D4</f>
        <v>XX/XX/2023</v>
      </c>
      <c r="F4" s="963"/>
      <c r="G4" s="449"/>
      <c r="H4" s="450" t="s">
        <v>5</v>
      </c>
      <c r="I4" s="964">
        <f>'DADOS INICIAIS'!H4</f>
        <v>0.375</v>
      </c>
      <c r="J4" s="965"/>
      <c r="K4" s="955"/>
      <c r="L4" s="956"/>
    </row>
    <row r="5" spans="1:12" ht="21.75" customHeight="1" thickBot="1" x14ac:dyDescent="0.3">
      <c r="A5" s="270"/>
      <c r="B5" s="734" t="s">
        <v>107</v>
      </c>
      <c r="C5" s="735"/>
      <c r="D5" s="735"/>
      <c r="E5" s="736" t="str">
        <f>'DADOS INICIAIS'!D1</f>
        <v>Manutenção Predial</v>
      </c>
      <c r="F5" s="736"/>
      <c r="G5" s="736"/>
      <c r="H5" s="736"/>
      <c r="I5" s="736"/>
      <c r="J5" s="737"/>
      <c r="K5" s="955"/>
      <c r="L5" s="956"/>
    </row>
    <row r="6" spans="1:12" ht="21.75" customHeight="1" x14ac:dyDescent="0.25">
      <c r="A6" s="270"/>
      <c r="B6" s="272"/>
      <c r="C6" s="270"/>
      <c r="D6" s="270"/>
      <c r="E6" s="270"/>
      <c r="F6" s="270"/>
      <c r="G6" s="270"/>
      <c r="H6" s="270"/>
      <c r="I6" s="270"/>
      <c r="J6" s="270"/>
      <c r="K6" s="270"/>
      <c r="L6" s="273"/>
    </row>
    <row r="7" spans="1:12" ht="21.75" customHeight="1" x14ac:dyDescent="0.25">
      <c r="A7" s="270"/>
      <c r="B7" s="451" t="s">
        <v>108</v>
      </c>
      <c r="C7" s="966" t="s">
        <v>109</v>
      </c>
      <c r="D7" s="966"/>
      <c r="E7" s="966"/>
      <c r="F7" s="966"/>
      <c r="G7" s="967" t="str">
        <f>'DADOS INICIAIS'!D6</f>
        <v>JUNDIAÍ</v>
      </c>
      <c r="H7" s="967"/>
      <c r="I7" s="967"/>
      <c r="J7" s="967"/>
      <c r="K7" s="967"/>
      <c r="L7" s="967"/>
    </row>
    <row r="8" spans="1:12" ht="21.75" customHeight="1" x14ac:dyDescent="0.25">
      <c r="A8" s="270"/>
      <c r="B8" s="451" t="s">
        <v>108</v>
      </c>
      <c r="C8" s="452" t="s">
        <v>110</v>
      </c>
      <c r="D8" s="452"/>
      <c r="E8" s="452"/>
      <c r="F8" s="452"/>
      <c r="G8" s="972">
        <f>'DADOS INICIAIS'!D7</f>
        <v>12</v>
      </c>
      <c r="H8" s="972"/>
      <c r="I8" s="972"/>
      <c r="J8" s="972"/>
      <c r="K8" s="972"/>
      <c r="L8" s="972"/>
    </row>
    <row r="9" spans="1:12" ht="21.75" customHeight="1" x14ac:dyDescent="0.25">
      <c r="A9" s="270"/>
      <c r="B9" s="453"/>
      <c r="C9" s="276"/>
      <c r="D9" s="276"/>
      <c r="E9" s="276"/>
      <c r="F9" s="276"/>
      <c r="G9" s="276"/>
      <c r="H9" s="276"/>
      <c r="I9" s="276"/>
      <c r="J9" s="276"/>
      <c r="K9" s="276"/>
      <c r="L9" s="454"/>
    </row>
    <row r="10" spans="1:12" ht="21.75" customHeight="1" x14ac:dyDescent="0.25">
      <c r="A10" s="270"/>
      <c r="B10" s="451" t="s">
        <v>108</v>
      </c>
      <c r="C10" s="455" t="s">
        <v>111</v>
      </c>
      <c r="D10" s="455"/>
      <c r="E10" s="455"/>
      <c r="F10" s="455"/>
      <c r="G10" s="973" t="s">
        <v>112</v>
      </c>
      <c r="H10" s="973"/>
      <c r="I10" s="973"/>
      <c r="J10" s="973"/>
      <c r="K10" s="973"/>
      <c r="L10" s="974"/>
    </row>
    <row r="11" spans="1:12" ht="21.75" customHeight="1" x14ac:dyDescent="0.25">
      <c r="A11" s="270"/>
      <c r="B11" s="451" t="s">
        <v>108</v>
      </c>
      <c r="C11" s="455" t="s">
        <v>113</v>
      </c>
      <c r="D11" s="455"/>
      <c r="E11" s="455"/>
      <c r="F11" s="455"/>
      <c r="G11" s="455"/>
      <c r="H11" s="455"/>
      <c r="I11" s="455"/>
      <c r="J11" s="975">
        <v>1</v>
      </c>
      <c r="K11" s="975"/>
      <c r="L11" s="976"/>
    </row>
    <row r="12" spans="1:12" ht="21.75" customHeight="1" thickBot="1" x14ac:dyDescent="0.3">
      <c r="A12" s="270"/>
      <c r="B12" s="272"/>
      <c r="C12" s="270"/>
      <c r="D12" s="270"/>
      <c r="E12" s="270"/>
      <c r="F12" s="270"/>
      <c r="G12" s="270"/>
      <c r="H12" s="270"/>
      <c r="I12" s="270"/>
      <c r="J12" s="270"/>
      <c r="K12" s="270"/>
      <c r="L12" s="273"/>
    </row>
    <row r="13" spans="1:12" ht="21.75" customHeight="1" thickBot="1" x14ac:dyDescent="0.3">
      <c r="A13" s="270"/>
      <c r="B13" s="968" t="s">
        <v>114</v>
      </c>
      <c r="C13" s="969"/>
      <c r="D13" s="969"/>
      <c r="E13" s="969"/>
      <c r="F13" s="969"/>
      <c r="G13" s="969"/>
      <c r="H13" s="969"/>
      <c r="I13" s="969"/>
      <c r="J13" s="969"/>
      <c r="K13" s="969"/>
      <c r="L13" s="970"/>
    </row>
    <row r="14" spans="1:12" ht="21.75" customHeight="1" x14ac:dyDescent="0.25">
      <c r="A14" s="270"/>
      <c r="B14" s="304">
        <v>1</v>
      </c>
      <c r="C14" s="294" t="s">
        <v>115</v>
      </c>
      <c r="D14" s="294"/>
      <c r="E14" s="294"/>
      <c r="F14" s="294"/>
      <c r="G14" s="294"/>
      <c r="H14" s="294"/>
      <c r="I14" s="294"/>
      <c r="J14" s="294"/>
      <c r="K14" s="294"/>
      <c r="L14" s="305">
        <f>'DADOS INICIAIS'!I16</f>
        <v>1997.04</v>
      </c>
    </row>
    <row r="15" spans="1:12" ht="21.75" customHeight="1" x14ac:dyDescent="0.25">
      <c r="A15" s="270"/>
      <c r="B15" s="306">
        <v>2</v>
      </c>
      <c r="C15" s="307" t="s">
        <v>116</v>
      </c>
      <c r="D15" s="307"/>
      <c r="E15" s="307"/>
      <c r="F15" s="307"/>
      <c r="G15" s="307"/>
      <c r="H15" s="307"/>
      <c r="I15" s="307"/>
      <c r="J15" s="307"/>
      <c r="K15" s="307"/>
      <c r="L15" s="308" t="str">
        <f>'DADOS INICIAIS'!I17</f>
        <v>Auxiliar Manutenção</v>
      </c>
    </row>
    <row r="16" spans="1:12" ht="21.75" customHeight="1" x14ac:dyDescent="0.25">
      <c r="A16" s="270"/>
      <c r="B16" s="309">
        <v>3</v>
      </c>
      <c r="C16" s="310" t="s">
        <v>117</v>
      </c>
      <c r="D16" s="310"/>
      <c r="E16" s="310"/>
      <c r="F16" s="310"/>
      <c r="G16" s="310"/>
      <c r="H16" s="310"/>
      <c r="I16" s="310"/>
      <c r="J16" s="310"/>
      <c r="K16" s="310"/>
      <c r="L16" s="311" t="str">
        <f>'DADOS INICIAIS'!I18</f>
        <v>maio</v>
      </c>
    </row>
    <row r="17" spans="1:12" ht="21.75" customHeight="1" thickBot="1" x14ac:dyDescent="0.3">
      <c r="A17" s="270"/>
      <c r="B17" s="312">
        <v>4</v>
      </c>
      <c r="C17" s="746" t="s">
        <v>118</v>
      </c>
      <c r="D17" s="746"/>
      <c r="E17" s="746"/>
      <c r="F17" s="746"/>
      <c r="G17" s="746"/>
      <c r="H17" s="746"/>
      <c r="I17" s="746"/>
      <c r="J17" s="746"/>
      <c r="K17" s="747"/>
      <c r="L17" s="313" t="str">
        <f>'DADOS INICIAIS'!I15</f>
        <v>5143-10</v>
      </c>
    </row>
    <row r="18" spans="1:12" ht="21.75" customHeight="1" thickBot="1" x14ac:dyDescent="0.3">
      <c r="A18" s="270"/>
      <c r="B18" s="274"/>
      <c r="C18" s="270"/>
      <c r="D18" s="270"/>
      <c r="E18" s="270"/>
      <c r="F18" s="270"/>
      <c r="G18" s="270"/>
      <c r="H18" s="270"/>
      <c r="I18" s="270"/>
      <c r="J18" s="270"/>
      <c r="K18" s="270"/>
      <c r="L18" s="275"/>
    </row>
    <row r="19" spans="1:12" ht="21.75" customHeight="1" thickBot="1" x14ac:dyDescent="0.3">
      <c r="A19" s="270"/>
      <c r="B19" s="845" t="s">
        <v>119</v>
      </c>
      <c r="C19" s="846"/>
      <c r="D19" s="846"/>
      <c r="E19" s="846"/>
      <c r="F19" s="846"/>
      <c r="G19" s="846"/>
      <c r="H19" s="846"/>
      <c r="I19" s="846"/>
      <c r="J19" s="846"/>
      <c r="K19" s="846"/>
      <c r="L19" s="847"/>
    </row>
    <row r="20" spans="1:12" ht="21.75" customHeight="1" x14ac:dyDescent="0.25">
      <c r="A20" s="270"/>
      <c r="B20" s="304" t="s">
        <v>120</v>
      </c>
      <c r="C20" s="294" t="s">
        <v>121</v>
      </c>
      <c r="D20" s="294"/>
      <c r="E20" s="294"/>
      <c r="F20" s="294"/>
      <c r="G20" s="294"/>
      <c r="H20" s="294"/>
      <c r="I20" s="294"/>
      <c r="J20" s="294"/>
      <c r="K20" s="295"/>
      <c r="L20" s="457">
        <f>'DADOS INICIAIS'!I19</f>
        <v>1997.04</v>
      </c>
    </row>
    <row r="21" spans="1:12" ht="21.75" customHeight="1" x14ac:dyDescent="0.25">
      <c r="A21" s="270"/>
      <c r="B21" s="306" t="s">
        <v>122</v>
      </c>
      <c r="C21" s="310" t="s">
        <v>30</v>
      </c>
      <c r="D21" s="310"/>
      <c r="E21" s="310"/>
      <c r="F21" s="315" t="s">
        <v>123</v>
      </c>
      <c r="G21" s="315"/>
      <c r="H21" s="310"/>
      <c r="I21" s="315" t="s">
        <v>124</v>
      </c>
      <c r="J21" s="316"/>
      <c r="K21" s="296">
        <f>'DADOS INICIAIS'!I20</f>
        <v>0.3</v>
      </c>
      <c r="L21" s="317">
        <f>L20*K21</f>
        <v>599.11199999999997</v>
      </c>
    </row>
    <row r="22" spans="1:12" ht="21.75" customHeight="1" x14ac:dyDescent="0.25">
      <c r="A22" s="270"/>
      <c r="B22" s="306" t="s">
        <v>125</v>
      </c>
      <c r="C22" s="755" t="s">
        <v>126</v>
      </c>
      <c r="D22" s="756"/>
      <c r="E22" s="310"/>
      <c r="F22" s="315" t="s">
        <v>127</v>
      </c>
      <c r="G22" s="315"/>
      <c r="H22" s="310"/>
      <c r="I22" s="310"/>
      <c r="J22" s="310"/>
      <c r="K22" s="461">
        <v>0</v>
      </c>
      <c r="L22" s="317">
        <f>L20*K22</f>
        <v>0</v>
      </c>
    </row>
    <row r="23" spans="1:12" ht="21.75" customHeight="1" x14ac:dyDescent="0.25">
      <c r="A23" s="270"/>
      <c r="B23" s="306" t="s">
        <v>130</v>
      </c>
      <c r="C23" s="750" t="s">
        <v>131</v>
      </c>
      <c r="D23" s="750"/>
      <c r="E23" s="750"/>
      <c r="F23" s="750"/>
      <c r="G23" s="750"/>
      <c r="H23" s="750"/>
      <c r="I23" s="750"/>
      <c r="J23" s="750"/>
      <c r="K23" s="971"/>
      <c r="L23" s="458"/>
    </row>
    <row r="24" spans="1:12" ht="21.75" customHeight="1" x14ac:dyDescent="0.25">
      <c r="A24" s="270"/>
      <c r="B24" s="306" t="s">
        <v>132</v>
      </c>
      <c r="C24" s="750" t="s">
        <v>116</v>
      </c>
      <c r="D24" s="750"/>
      <c r="E24" s="750"/>
      <c r="F24" s="750"/>
      <c r="G24" s="750"/>
      <c r="H24" s="750"/>
      <c r="I24" s="750"/>
      <c r="J24" s="750"/>
      <c r="K24" s="750"/>
      <c r="L24" s="308" t="str">
        <f>L15</f>
        <v>Auxiliar Manutenção</v>
      </c>
    </row>
    <row r="25" spans="1:12" ht="21.75" customHeight="1" x14ac:dyDescent="0.25">
      <c r="A25" s="270"/>
      <c r="B25" s="309" t="s">
        <v>133</v>
      </c>
      <c r="C25" s="756" t="s">
        <v>134</v>
      </c>
      <c r="D25" s="756"/>
      <c r="E25" s="756"/>
      <c r="F25" s="756"/>
      <c r="G25" s="756"/>
      <c r="H25" s="756"/>
      <c r="I25" s="756"/>
      <c r="J25" s="756"/>
      <c r="K25" s="756"/>
      <c r="L25" s="458"/>
    </row>
    <row r="26" spans="1:12" ht="21.75" customHeight="1" thickBot="1" x14ac:dyDescent="0.3">
      <c r="A26" s="270"/>
      <c r="B26" s="459" t="s">
        <v>135</v>
      </c>
      <c r="C26" s="977" t="s">
        <v>136</v>
      </c>
      <c r="D26" s="977"/>
      <c r="E26" s="977"/>
      <c r="F26" s="977"/>
      <c r="G26" s="977"/>
      <c r="H26" s="977"/>
      <c r="I26" s="977"/>
      <c r="J26" s="977"/>
      <c r="K26" s="977"/>
      <c r="L26" s="460"/>
    </row>
    <row r="27" spans="1:12" ht="21.75" customHeight="1" thickBot="1" x14ac:dyDescent="0.3">
      <c r="A27" s="270"/>
      <c r="B27" s="768" t="s">
        <v>162</v>
      </c>
      <c r="C27" s="769"/>
      <c r="D27" s="769"/>
      <c r="E27" s="769"/>
      <c r="F27" s="769"/>
      <c r="G27" s="769"/>
      <c r="H27" s="769"/>
      <c r="I27" s="769"/>
      <c r="J27" s="769"/>
      <c r="K27" s="769"/>
      <c r="L27" s="362">
        <f>SUM(L20:L26)</f>
        <v>2596.152</v>
      </c>
    </row>
    <row r="28" spans="1:12" ht="21.75" customHeight="1" thickBot="1" x14ac:dyDescent="0.3">
      <c r="A28" s="270"/>
      <c r="B28" s="760"/>
      <c r="C28" s="760"/>
      <c r="D28" s="760"/>
      <c r="E28" s="760"/>
      <c r="F28" s="760"/>
      <c r="G28" s="760"/>
      <c r="H28" s="760"/>
      <c r="I28" s="760"/>
      <c r="J28" s="760"/>
      <c r="K28" s="760"/>
      <c r="L28" s="760"/>
    </row>
    <row r="29" spans="1:12" ht="21.75" customHeight="1" thickBot="1" x14ac:dyDescent="0.3">
      <c r="A29" s="270"/>
      <c r="B29" s="796" t="s">
        <v>138</v>
      </c>
      <c r="C29" s="797"/>
      <c r="D29" s="797"/>
      <c r="E29" s="797"/>
      <c r="F29" s="797"/>
      <c r="G29" s="797"/>
      <c r="H29" s="797"/>
      <c r="I29" s="797"/>
      <c r="J29" s="797"/>
      <c r="K29" s="797"/>
      <c r="L29" s="798"/>
    </row>
    <row r="30" spans="1:12" ht="21.75" customHeight="1" x14ac:dyDescent="0.25">
      <c r="A30" s="270"/>
      <c r="B30" s="978" t="s">
        <v>460</v>
      </c>
      <c r="C30" s="979"/>
      <c r="D30" s="979"/>
      <c r="E30" s="979"/>
      <c r="F30" s="979"/>
      <c r="G30" s="979"/>
      <c r="H30" s="979"/>
      <c r="I30" s="979"/>
      <c r="J30" s="979"/>
      <c r="K30" s="979"/>
      <c r="L30" s="980"/>
    </row>
    <row r="31" spans="1:12" ht="21.75" customHeight="1" x14ac:dyDescent="0.25">
      <c r="A31" s="270"/>
      <c r="B31" s="320" t="s">
        <v>120</v>
      </c>
      <c r="C31" s="767" t="s">
        <v>459</v>
      </c>
      <c r="D31" s="767"/>
      <c r="E31" s="767"/>
      <c r="F31" s="767"/>
      <c r="G31" s="767"/>
      <c r="H31" s="767"/>
      <c r="I31" s="767"/>
      <c r="J31" s="767"/>
      <c r="K31" s="321">
        <f>1/12</f>
        <v>8.3333333333333329E-2</v>
      </c>
      <c r="L31" s="322">
        <f>L27*K31</f>
        <v>216.346</v>
      </c>
    </row>
    <row r="32" spans="1:12" ht="21.75" customHeight="1" thickBot="1" x14ac:dyDescent="0.3">
      <c r="A32" s="270"/>
      <c r="B32" s="463" t="s">
        <v>122</v>
      </c>
      <c r="C32" s="817" t="s">
        <v>141</v>
      </c>
      <c r="D32" s="817"/>
      <c r="E32" s="817"/>
      <c r="F32" s="817"/>
      <c r="G32" s="817"/>
      <c r="H32" s="817"/>
      <c r="I32" s="817"/>
      <c r="J32" s="817"/>
      <c r="K32" s="462">
        <f>1/12/3</f>
        <v>2.7777777777777776E-2</v>
      </c>
      <c r="L32" s="469">
        <f>L27*K32</f>
        <v>72.115333333333325</v>
      </c>
    </row>
    <row r="33" spans="1:12" ht="21.75" customHeight="1" thickBot="1" x14ac:dyDescent="0.3">
      <c r="A33" s="270"/>
      <c r="B33" s="790" t="s">
        <v>162</v>
      </c>
      <c r="C33" s="791"/>
      <c r="D33" s="791"/>
      <c r="E33" s="791"/>
      <c r="F33" s="791"/>
      <c r="G33" s="791"/>
      <c r="H33" s="791"/>
      <c r="I33" s="791"/>
      <c r="J33" s="792"/>
      <c r="K33" s="468">
        <f>SUM(K31:K32)</f>
        <v>0.1111111111111111</v>
      </c>
      <c r="L33" s="350">
        <f>K33*L27</f>
        <v>288.4613333333333</v>
      </c>
    </row>
    <row r="34" spans="1:12" ht="21.75" customHeight="1" thickBot="1" x14ac:dyDescent="0.3">
      <c r="A34" s="270"/>
      <c r="B34" s="760"/>
      <c r="C34" s="760"/>
      <c r="D34" s="760"/>
      <c r="E34" s="760"/>
      <c r="F34" s="760"/>
      <c r="G34" s="760"/>
      <c r="H34" s="760"/>
      <c r="I34" s="760"/>
      <c r="J34" s="760"/>
      <c r="K34" s="760"/>
      <c r="L34" s="760"/>
    </row>
    <row r="35" spans="1:12" ht="21.75" customHeight="1" thickBot="1" x14ac:dyDescent="0.3">
      <c r="A35" s="270"/>
      <c r="B35" s="781" t="s">
        <v>143</v>
      </c>
      <c r="C35" s="782"/>
      <c r="D35" s="782"/>
      <c r="E35" s="782"/>
      <c r="F35" s="782"/>
      <c r="G35" s="782"/>
      <c r="H35" s="782"/>
      <c r="I35" s="782"/>
      <c r="J35" s="782"/>
      <c r="K35" s="782"/>
      <c r="L35" s="783"/>
    </row>
    <row r="36" spans="1:12" ht="21.75" customHeight="1" x14ac:dyDescent="0.25">
      <c r="A36" s="270"/>
      <c r="B36" s="982" t="s">
        <v>462</v>
      </c>
      <c r="C36" s="983"/>
      <c r="D36" s="983"/>
      <c r="E36" s="983"/>
      <c r="F36" s="983"/>
      <c r="G36" s="983"/>
      <c r="H36" s="983"/>
      <c r="I36" s="983"/>
      <c r="J36" s="983"/>
      <c r="K36" s="983"/>
      <c r="L36" s="470">
        <f>L27+L33</f>
        <v>2884.6133333333332</v>
      </c>
    </row>
    <row r="37" spans="1:12" ht="21.75" customHeight="1" x14ac:dyDescent="0.25">
      <c r="A37" s="270"/>
      <c r="B37" s="466" t="s">
        <v>120</v>
      </c>
      <c r="C37" s="981" t="s">
        <v>145</v>
      </c>
      <c r="D37" s="981"/>
      <c r="E37" s="981"/>
      <c r="F37" s="981"/>
      <c r="G37" s="981"/>
      <c r="H37" s="981"/>
      <c r="I37" s="981"/>
      <c r="J37" s="981"/>
      <c r="K37" s="473">
        <v>0.2</v>
      </c>
      <c r="L37" s="344">
        <f t="shared" ref="L37:L44" si="0">K37*$L$27</f>
        <v>519.23040000000003</v>
      </c>
    </row>
    <row r="38" spans="1:12" ht="21.75" customHeight="1" x14ac:dyDescent="0.25">
      <c r="A38" s="270"/>
      <c r="B38" s="467" t="s">
        <v>122</v>
      </c>
      <c r="C38" s="773" t="s">
        <v>146</v>
      </c>
      <c r="D38" s="773"/>
      <c r="E38" s="773"/>
      <c r="F38" s="773"/>
      <c r="G38" s="773"/>
      <c r="H38" s="773"/>
      <c r="I38" s="773"/>
      <c r="J38" s="773"/>
      <c r="K38" s="438">
        <v>1.4999999999999999E-2</v>
      </c>
      <c r="L38" s="325">
        <f t="shared" si="0"/>
        <v>38.942279999999997</v>
      </c>
    </row>
    <row r="39" spans="1:12" ht="21.75" customHeight="1" x14ac:dyDescent="0.25">
      <c r="A39" s="270"/>
      <c r="B39" s="467" t="s">
        <v>125</v>
      </c>
      <c r="C39" s="773" t="s">
        <v>147</v>
      </c>
      <c r="D39" s="773"/>
      <c r="E39" s="773"/>
      <c r="F39" s="773"/>
      <c r="G39" s="773"/>
      <c r="H39" s="773"/>
      <c r="I39" s="773"/>
      <c r="J39" s="773"/>
      <c r="K39" s="438">
        <v>0.01</v>
      </c>
      <c r="L39" s="325">
        <f t="shared" si="0"/>
        <v>25.96152</v>
      </c>
    </row>
    <row r="40" spans="1:12" ht="21.75" customHeight="1" x14ac:dyDescent="0.25">
      <c r="A40" s="270"/>
      <c r="B40" s="467" t="s">
        <v>130</v>
      </c>
      <c r="C40" s="773" t="s">
        <v>148</v>
      </c>
      <c r="D40" s="773"/>
      <c r="E40" s="773"/>
      <c r="F40" s="773"/>
      <c r="G40" s="773"/>
      <c r="H40" s="773"/>
      <c r="I40" s="773"/>
      <c r="J40" s="773"/>
      <c r="K40" s="438">
        <v>2E-3</v>
      </c>
      <c r="L40" s="325">
        <f t="shared" si="0"/>
        <v>5.192304</v>
      </c>
    </row>
    <row r="41" spans="1:12" ht="21.75" customHeight="1" x14ac:dyDescent="0.25">
      <c r="A41" s="270"/>
      <c r="B41" s="467" t="s">
        <v>132</v>
      </c>
      <c r="C41" s="773" t="s">
        <v>149</v>
      </c>
      <c r="D41" s="773"/>
      <c r="E41" s="773"/>
      <c r="F41" s="773"/>
      <c r="G41" s="773"/>
      <c r="H41" s="773"/>
      <c r="I41" s="773"/>
      <c r="J41" s="773"/>
      <c r="K41" s="438">
        <v>2.5000000000000001E-2</v>
      </c>
      <c r="L41" s="325">
        <f t="shared" si="0"/>
        <v>64.903800000000004</v>
      </c>
    </row>
    <row r="42" spans="1:12" ht="21.75" customHeight="1" x14ac:dyDescent="0.25">
      <c r="A42" s="270"/>
      <c r="B42" s="467" t="s">
        <v>133</v>
      </c>
      <c r="C42" s="773" t="s">
        <v>150</v>
      </c>
      <c r="D42" s="773"/>
      <c r="E42" s="773"/>
      <c r="F42" s="773"/>
      <c r="G42" s="773"/>
      <c r="H42" s="773"/>
      <c r="I42" s="773"/>
      <c r="J42" s="773"/>
      <c r="K42" s="438">
        <v>0.08</v>
      </c>
      <c r="L42" s="325">
        <f t="shared" si="0"/>
        <v>207.69216</v>
      </c>
    </row>
    <row r="43" spans="1:12" ht="21.75" customHeight="1" x14ac:dyDescent="0.25">
      <c r="A43" s="270"/>
      <c r="B43" s="467" t="s">
        <v>135</v>
      </c>
      <c r="C43" s="773" t="s">
        <v>151</v>
      </c>
      <c r="D43" s="773"/>
      <c r="E43" s="773"/>
      <c r="F43" s="773"/>
      <c r="G43" s="299">
        <f>'DADOS INICIAIS'!H89</f>
        <v>0.03</v>
      </c>
      <c r="H43" s="465" t="s">
        <v>152</v>
      </c>
      <c r="I43" s="780">
        <f>'DADOS INICIAIS'!H90</f>
        <v>1</v>
      </c>
      <c r="J43" s="780"/>
      <c r="K43" s="438">
        <f>G43*I43</f>
        <v>0.03</v>
      </c>
      <c r="L43" s="325">
        <f t="shared" si="0"/>
        <v>77.884559999999993</v>
      </c>
    </row>
    <row r="44" spans="1:12" ht="21.75" customHeight="1" thickBot="1" x14ac:dyDescent="0.3">
      <c r="A44" s="270"/>
      <c r="B44" s="467" t="s">
        <v>153</v>
      </c>
      <c r="C44" s="986" t="s">
        <v>154</v>
      </c>
      <c r="D44" s="987"/>
      <c r="E44" s="987"/>
      <c r="F44" s="987"/>
      <c r="G44" s="987"/>
      <c r="H44" s="987"/>
      <c r="I44" s="987"/>
      <c r="J44" s="988"/>
      <c r="K44" s="438">
        <v>6.0000000000000001E-3</v>
      </c>
      <c r="L44" s="325">
        <f t="shared" si="0"/>
        <v>15.576912</v>
      </c>
    </row>
    <row r="45" spans="1:12" ht="21.75" customHeight="1" thickBot="1" x14ac:dyDescent="0.3">
      <c r="A45" s="270"/>
      <c r="B45" s="790" t="s">
        <v>162</v>
      </c>
      <c r="C45" s="791"/>
      <c r="D45" s="791"/>
      <c r="E45" s="791"/>
      <c r="F45" s="791"/>
      <c r="G45" s="791"/>
      <c r="H45" s="791"/>
      <c r="I45" s="791"/>
      <c r="J45" s="792"/>
      <c r="K45" s="349">
        <f>SUM(K37:K44)</f>
        <v>0.3680000000000001</v>
      </c>
      <c r="L45" s="350">
        <f>SUM(L37:L44)</f>
        <v>955.38393599999995</v>
      </c>
    </row>
    <row r="46" spans="1:12" ht="21.75" customHeight="1" thickBot="1" x14ac:dyDescent="0.3">
      <c r="A46" s="270"/>
      <c r="B46" s="760"/>
      <c r="C46" s="760"/>
      <c r="D46" s="760"/>
      <c r="E46" s="760"/>
      <c r="F46" s="760"/>
      <c r="G46" s="760"/>
      <c r="H46" s="760"/>
      <c r="I46" s="760"/>
      <c r="J46" s="760"/>
      <c r="K46" s="760"/>
      <c r="L46" s="760"/>
    </row>
    <row r="47" spans="1:12" ht="21.75" customHeight="1" thickBot="1" x14ac:dyDescent="0.3">
      <c r="A47" s="270"/>
      <c r="B47" s="796" t="s">
        <v>155</v>
      </c>
      <c r="C47" s="797"/>
      <c r="D47" s="797"/>
      <c r="E47" s="797"/>
      <c r="F47" s="797"/>
      <c r="G47" s="797"/>
      <c r="H47" s="797"/>
      <c r="I47" s="797"/>
      <c r="J47" s="797"/>
      <c r="K47" s="797"/>
      <c r="L47" s="798"/>
    </row>
    <row r="48" spans="1:12" ht="21.75" customHeight="1" x14ac:dyDescent="0.25">
      <c r="A48" s="270"/>
      <c r="B48" s="472" t="s">
        <v>120</v>
      </c>
      <c r="C48" s="984" t="s">
        <v>156</v>
      </c>
      <c r="D48" s="984"/>
      <c r="E48" s="984"/>
      <c r="F48" s="984"/>
      <c r="G48" s="984"/>
      <c r="H48" s="984"/>
      <c r="I48" s="984"/>
      <c r="J48" s="984"/>
      <c r="K48" s="985"/>
      <c r="L48" s="344">
        <f>'DADOS INICIAIS'!I24</f>
        <v>119.16</v>
      </c>
    </row>
    <row r="49" spans="1:12" ht="21.75" customHeight="1" x14ac:dyDescent="0.25">
      <c r="A49" s="270"/>
      <c r="B49" s="306" t="s">
        <v>122</v>
      </c>
      <c r="C49" s="767" t="s">
        <v>157</v>
      </c>
      <c r="D49" s="767"/>
      <c r="E49" s="767"/>
      <c r="F49" s="767"/>
      <c r="G49" s="767"/>
      <c r="H49" s="767"/>
      <c r="I49" s="767"/>
      <c r="J49" s="767"/>
      <c r="K49" s="786"/>
      <c r="L49" s="325">
        <f>'DADOS INICIAIS'!I31</f>
        <v>595.04255099999989</v>
      </c>
    </row>
    <row r="50" spans="1:12" ht="21.75" customHeight="1" x14ac:dyDescent="0.25">
      <c r="A50" s="270"/>
      <c r="B50" s="306" t="s">
        <v>125</v>
      </c>
      <c r="C50" s="767" t="s">
        <v>37</v>
      </c>
      <c r="D50" s="767"/>
      <c r="E50" s="767"/>
      <c r="F50" s="767"/>
      <c r="G50" s="767"/>
      <c r="H50" s="767"/>
      <c r="I50" s="767"/>
      <c r="J50" s="767"/>
      <c r="K50" s="786"/>
      <c r="L50" s="325">
        <f>'DADOS INICIAIS'!I34</f>
        <v>0</v>
      </c>
    </row>
    <row r="51" spans="1:12" ht="21.75" customHeight="1" x14ac:dyDescent="0.25">
      <c r="A51" s="270"/>
      <c r="B51" s="306" t="s">
        <v>130</v>
      </c>
      <c r="C51" s="767" t="s">
        <v>158</v>
      </c>
      <c r="D51" s="767"/>
      <c r="E51" s="767"/>
      <c r="F51" s="767"/>
      <c r="G51" s="767"/>
      <c r="H51" s="767"/>
      <c r="I51" s="767"/>
      <c r="J51" s="767"/>
      <c r="K51" s="786"/>
      <c r="L51" s="325">
        <f>'DADOS INICIAIS'!I37</f>
        <v>388.92999999999995</v>
      </c>
    </row>
    <row r="52" spans="1:12" ht="21.75" customHeight="1" x14ac:dyDescent="0.25">
      <c r="A52" s="270"/>
      <c r="B52" s="306" t="s">
        <v>132</v>
      </c>
      <c r="C52" s="767" t="s">
        <v>159</v>
      </c>
      <c r="D52" s="767"/>
      <c r="E52" s="767"/>
      <c r="F52" s="767"/>
      <c r="G52" s="767"/>
      <c r="H52" s="767"/>
      <c r="I52" s="767"/>
      <c r="J52" s="767"/>
      <c r="K52" s="786"/>
      <c r="L52" s="325">
        <f>'DADOS INICIAIS'!I40</f>
        <v>0</v>
      </c>
    </row>
    <row r="53" spans="1:12" ht="21.75" customHeight="1" x14ac:dyDescent="0.25">
      <c r="A53" s="270"/>
      <c r="B53" s="306" t="s">
        <v>133</v>
      </c>
      <c r="C53" s="767" t="s">
        <v>160</v>
      </c>
      <c r="D53" s="767"/>
      <c r="E53" s="767"/>
      <c r="F53" s="767"/>
      <c r="G53" s="767"/>
      <c r="H53" s="767"/>
      <c r="I53" s="767"/>
      <c r="J53" s="767"/>
      <c r="K53" s="786"/>
      <c r="L53" s="325">
        <f>'DADOS INICIAIS'!I28</f>
        <v>9.48</v>
      </c>
    </row>
    <row r="54" spans="1:12" ht="21.75" customHeight="1" x14ac:dyDescent="0.25">
      <c r="A54" s="270"/>
      <c r="B54" s="306" t="s">
        <v>135</v>
      </c>
      <c r="C54" s="767" t="str">
        <f>'DADOS INICIAIS'!C46</f>
        <v>especificar</v>
      </c>
      <c r="D54" s="767"/>
      <c r="E54" s="767"/>
      <c r="F54" s="767"/>
      <c r="G54" s="767"/>
      <c r="H54" s="767"/>
      <c r="I54" s="767"/>
      <c r="J54" s="767"/>
      <c r="K54" s="786"/>
      <c r="L54" s="325">
        <f>'DADOS INICIAIS'!I46</f>
        <v>0</v>
      </c>
    </row>
    <row r="55" spans="1:12" ht="21.75" customHeight="1" x14ac:dyDescent="0.25">
      <c r="A55" s="270"/>
      <c r="B55" s="306" t="s">
        <v>153</v>
      </c>
      <c r="C55" s="767" t="str">
        <f>'DADOS INICIAIS'!C49</f>
        <v>especificar</v>
      </c>
      <c r="D55" s="767"/>
      <c r="E55" s="767"/>
      <c r="F55" s="767"/>
      <c r="G55" s="767"/>
      <c r="H55" s="767"/>
      <c r="I55" s="767"/>
      <c r="J55" s="767"/>
      <c r="K55" s="786"/>
      <c r="L55" s="325">
        <f>'DADOS INICIAIS'!I49</f>
        <v>0</v>
      </c>
    </row>
    <row r="56" spans="1:12" ht="21.75" customHeight="1" thickBot="1" x14ac:dyDescent="0.3">
      <c r="A56" s="270"/>
      <c r="B56" s="309" t="s">
        <v>161</v>
      </c>
      <c r="C56" s="803"/>
      <c r="D56" s="803"/>
      <c r="E56" s="803"/>
      <c r="F56" s="803"/>
      <c r="G56" s="803"/>
      <c r="H56" s="803"/>
      <c r="I56" s="803"/>
      <c r="J56" s="803"/>
      <c r="K56" s="804"/>
      <c r="L56" s="326"/>
    </row>
    <row r="57" spans="1:12" ht="21.75" customHeight="1" thickBot="1" x14ac:dyDescent="0.3">
      <c r="A57" s="270"/>
      <c r="B57" s="790" t="s">
        <v>162</v>
      </c>
      <c r="C57" s="791"/>
      <c r="D57" s="791"/>
      <c r="E57" s="791"/>
      <c r="F57" s="791"/>
      <c r="G57" s="791"/>
      <c r="H57" s="791"/>
      <c r="I57" s="791"/>
      <c r="J57" s="791"/>
      <c r="K57" s="953"/>
      <c r="L57" s="362">
        <f>SUM(L48:L56)</f>
        <v>1112.6125509999997</v>
      </c>
    </row>
    <row r="58" spans="1:12" ht="21.75" customHeight="1" thickBot="1" x14ac:dyDescent="0.3">
      <c r="A58" s="270"/>
      <c r="B58" s="760"/>
      <c r="C58" s="760"/>
      <c r="D58" s="760"/>
      <c r="E58" s="760"/>
      <c r="F58" s="760"/>
      <c r="G58" s="760"/>
      <c r="H58" s="760"/>
      <c r="I58" s="760"/>
      <c r="J58" s="760"/>
      <c r="K58" s="760"/>
      <c r="L58" s="760"/>
    </row>
    <row r="59" spans="1:12" ht="21.75" customHeight="1" thickBot="1" x14ac:dyDescent="0.3">
      <c r="A59" s="270"/>
      <c r="B59" s="796" t="s">
        <v>463</v>
      </c>
      <c r="C59" s="797"/>
      <c r="D59" s="797"/>
      <c r="E59" s="797"/>
      <c r="F59" s="797"/>
      <c r="G59" s="797"/>
      <c r="H59" s="797"/>
      <c r="I59" s="797"/>
      <c r="J59" s="797"/>
      <c r="K59" s="797"/>
      <c r="L59" s="798"/>
    </row>
    <row r="60" spans="1:12" ht="21.75" customHeight="1" x14ac:dyDescent="0.25">
      <c r="A60" s="270"/>
      <c r="B60" s="474" t="s">
        <v>164</v>
      </c>
      <c r="C60" s="989" t="s">
        <v>461</v>
      </c>
      <c r="D60" s="989"/>
      <c r="E60" s="989"/>
      <c r="F60" s="989"/>
      <c r="G60" s="989"/>
      <c r="H60" s="989"/>
      <c r="I60" s="989"/>
      <c r="J60" s="989"/>
      <c r="K60" s="377">
        <f>K33</f>
        <v>0.1111111111111111</v>
      </c>
      <c r="L60" s="344">
        <f>K60*L27</f>
        <v>288.4613333333333</v>
      </c>
    </row>
    <row r="61" spans="1:12" ht="21.75" customHeight="1" x14ac:dyDescent="0.25">
      <c r="A61" s="270"/>
      <c r="B61" s="475" t="s">
        <v>166</v>
      </c>
      <c r="C61" s="728" t="s">
        <v>167</v>
      </c>
      <c r="D61" s="728"/>
      <c r="E61" s="728"/>
      <c r="F61" s="728"/>
      <c r="G61" s="728"/>
      <c r="H61" s="728"/>
      <c r="I61" s="728"/>
      <c r="J61" s="728"/>
      <c r="K61" s="300">
        <f>K45</f>
        <v>0.3680000000000001</v>
      </c>
      <c r="L61" s="325">
        <f>K61*L27</f>
        <v>955.38393600000029</v>
      </c>
    </row>
    <row r="62" spans="1:12" ht="21.75" customHeight="1" thickBot="1" x14ac:dyDescent="0.3">
      <c r="A62" s="270"/>
      <c r="B62" s="476" t="s">
        <v>168</v>
      </c>
      <c r="C62" s="990" t="s">
        <v>169</v>
      </c>
      <c r="D62" s="990"/>
      <c r="E62" s="990"/>
      <c r="F62" s="990"/>
      <c r="G62" s="990"/>
      <c r="H62" s="990"/>
      <c r="I62" s="990"/>
      <c r="J62" s="990"/>
      <c r="K62" s="990"/>
      <c r="L62" s="330">
        <f>L57</f>
        <v>1112.6125509999997</v>
      </c>
    </row>
    <row r="63" spans="1:12" ht="21.75" customHeight="1" thickBot="1" x14ac:dyDescent="0.3">
      <c r="A63" s="270"/>
      <c r="B63" s="790" t="s">
        <v>162</v>
      </c>
      <c r="C63" s="791"/>
      <c r="D63" s="791"/>
      <c r="E63" s="791"/>
      <c r="F63" s="791"/>
      <c r="G63" s="791"/>
      <c r="H63" s="791"/>
      <c r="I63" s="791"/>
      <c r="J63" s="791"/>
      <c r="K63" s="953"/>
      <c r="L63" s="362">
        <f>L60+L61+L62</f>
        <v>2356.4578203333331</v>
      </c>
    </row>
    <row r="64" spans="1:12" s="278" customFormat="1" ht="21.75" customHeight="1" thickBot="1" x14ac:dyDescent="0.3">
      <c r="A64" s="277"/>
      <c r="B64" s="760"/>
      <c r="C64" s="760"/>
      <c r="D64" s="760"/>
      <c r="E64" s="760"/>
      <c r="F64" s="760"/>
      <c r="G64" s="760"/>
      <c r="H64" s="760"/>
      <c r="I64" s="760"/>
      <c r="J64" s="760"/>
      <c r="K64" s="760"/>
      <c r="L64" s="760"/>
    </row>
    <row r="65" spans="1:13" ht="21.75" customHeight="1" thickBot="1" x14ac:dyDescent="0.3">
      <c r="A65" s="277"/>
      <c r="B65" s="991" t="s">
        <v>170</v>
      </c>
      <c r="C65" s="992"/>
      <c r="D65" s="992"/>
      <c r="E65" s="992"/>
      <c r="F65" s="992"/>
      <c r="G65" s="992"/>
      <c r="H65" s="992"/>
      <c r="I65" s="992"/>
      <c r="J65" s="992"/>
      <c r="K65" s="992"/>
      <c r="L65" s="993"/>
    </row>
    <row r="66" spans="1:13" ht="21.75" customHeight="1" x14ac:dyDescent="0.25">
      <c r="A66" s="277"/>
      <c r="B66" s="424" t="s">
        <v>120</v>
      </c>
      <c r="C66" s="477" t="s">
        <v>171</v>
      </c>
      <c r="D66" s="478"/>
      <c r="E66" s="478">
        <v>30</v>
      </c>
      <c r="F66" s="477" t="s">
        <v>172</v>
      </c>
      <c r="G66" s="994" t="s">
        <v>173</v>
      </c>
      <c r="H66" s="994"/>
      <c r="I66" s="995">
        <v>0.05</v>
      </c>
      <c r="J66" s="995"/>
      <c r="K66" s="479"/>
      <c r="L66" s="344">
        <f>((L27+L33)/12)*I66</f>
        <v>12.019222222222222</v>
      </c>
      <c r="M66" s="359" t="s">
        <v>468</v>
      </c>
    </row>
    <row r="67" spans="1:13" ht="21.75" customHeight="1" x14ac:dyDescent="0.25">
      <c r="A67" s="277"/>
      <c r="B67" s="426" t="s">
        <v>122</v>
      </c>
      <c r="C67" s="809" t="s">
        <v>174</v>
      </c>
      <c r="D67" s="810"/>
      <c r="E67" s="810"/>
      <c r="F67" s="810"/>
      <c r="G67" s="810"/>
      <c r="H67" s="810"/>
      <c r="I67" s="810"/>
      <c r="J67" s="810"/>
      <c r="K67" s="811"/>
      <c r="L67" s="325">
        <f>L66*0.08</f>
        <v>0.96153777777777782</v>
      </c>
      <c r="M67" s="359" t="s">
        <v>469</v>
      </c>
    </row>
    <row r="68" spans="1:13" ht="21.75" customHeight="1" x14ac:dyDescent="0.25">
      <c r="A68" s="277"/>
      <c r="B68" s="426" t="s">
        <v>130</v>
      </c>
      <c r="C68" s="809" t="s">
        <v>176</v>
      </c>
      <c r="D68" s="810"/>
      <c r="E68" s="810"/>
      <c r="F68" s="810"/>
      <c r="G68" s="810"/>
      <c r="H68" s="810"/>
      <c r="I68" s="810"/>
      <c r="J68" s="810"/>
      <c r="K68" s="811"/>
      <c r="L68" s="325">
        <f>((L27+L33)/30*7)/12</f>
        <v>56.089703703703698</v>
      </c>
      <c r="M68" s="359" t="s">
        <v>465</v>
      </c>
    </row>
    <row r="69" spans="1:13" ht="21.75" customHeight="1" x14ac:dyDescent="0.25">
      <c r="A69" s="277"/>
      <c r="B69" s="426" t="s">
        <v>135</v>
      </c>
      <c r="C69" s="809" t="s">
        <v>472</v>
      </c>
      <c r="D69" s="810"/>
      <c r="E69" s="810"/>
      <c r="F69" s="810"/>
      <c r="G69" s="810"/>
      <c r="H69" s="810"/>
      <c r="I69" s="810"/>
      <c r="J69" s="810"/>
      <c r="K69" s="811"/>
      <c r="L69" s="325">
        <f>L27*0.04</f>
        <v>103.84608</v>
      </c>
      <c r="M69" s="359" t="s">
        <v>467</v>
      </c>
    </row>
    <row r="70" spans="1:13" ht="21.75" customHeight="1" thickBot="1" x14ac:dyDescent="0.3">
      <c r="A70" s="277"/>
      <c r="B70" s="459" t="s">
        <v>153</v>
      </c>
      <c r="C70" s="793" t="s">
        <v>464</v>
      </c>
      <c r="D70" s="794"/>
      <c r="E70" s="794"/>
      <c r="F70" s="794"/>
      <c r="G70" s="794"/>
      <c r="H70" s="794"/>
      <c r="I70" s="794"/>
      <c r="J70" s="794"/>
      <c r="K70" s="795"/>
      <c r="L70" s="330">
        <f>L68*K45</f>
        <v>20.641010962962966</v>
      </c>
      <c r="M70" s="359" t="s">
        <v>470</v>
      </c>
    </row>
    <row r="71" spans="1:13" ht="21.75" customHeight="1" thickBot="1" x14ac:dyDescent="0.3">
      <c r="A71" s="277"/>
      <c r="B71" s="790" t="s">
        <v>162</v>
      </c>
      <c r="C71" s="791"/>
      <c r="D71" s="791"/>
      <c r="E71" s="791"/>
      <c r="F71" s="791"/>
      <c r="G71" s="791"/>
      <c r="H71" s="791"/>
      <c r="I71" s="791"/>
      <c r="J71" s="791"/>
      <c r="K71" s="953"/>
      <c r="L71" s="362">
        <f>SUM(L66:L70)</f>
        <v>193.55755466666665</v>
      </c>
    </row>
    <row r="72" spans="1:13" ht="21.75" customHeight="1" thickBot="1" x14ac:dyDescent="0.3">
      <c r="A72" s="277"/>
      <c r="B72" s="760"/>
      <c r="C72" s="760"/>
      <c r="D72" s="760"/>
      <c r="E72" s="760"/>
      <c r="F72" s="760"/>
      <c r="G72" s="760"/>
      <c r="H72" s="760"/>
      <c r="I72" s="760"/>
      <c r="J72" s="760"/>
      <c r="K72" s="760"/>
      <c r="L72" s="760"/>
    </row>
    <row r="73" spans="1:13" ht="21.75" customHeight="1" thickBot="1" x14ac:dyDescent="0.3">
      <c r="A73" s="277"/>
      <c r="B73" s="796" t="s">
        <v>180</v>
      </c>
      <c r="C73" s="797"/>
      <c r="D73" s="797"/>
      <c r="E73" s="797"/>
      <c r="F73" s="797"/>
      <c r="G73" s="797"/>
      <c r="H73" s="797"/>
      <c r="I73" s="797"/>
      <c r="J73" s="797"/>
      <c r="K73" s="797"/>
      <c r="L73" s="798"/>
    </row>
    <row r="74" spans="1:13" ht="21.75" customHeight="1" thickBot="1" x14ac:dyDescent="0.3">
      <c r="A74" s="277"/>
      <c r="B74" s="781" t="s">
        <v>181</v>
      </c>
      <c r="C74" s="782"/>
      <c r="D74" s="782"/>
      <c r="E74" s="782"/>
      <c r="F74" s="782"/>
      <c r="G74" s="782"/>
      <c r="H74" s="782"/>
      <c r="I74" s="782"/>
      <c r="J74" s="782"/>
      <c r="K74" s="782"/>
      <c r="L74" s="783"/>
    </row>
    <row r="75" spans="1:13" ht="21.75" customHeight="1" x14ac:dyDescent="0.25">
      <c r="A75" s="277"/>
      <c r="B75" s="472" t="s">
        <v>120</v>
      </c>
      <c r="C75" s="984" t="s">
        <v>182</v>
      </c>
      <c r="D75" s="984"/>
      <c r="E75" s="984"/>
      <c r="F75" s="984"/>
      <c r="G75" s="984"/>
      <c r="H75" s="984"/>
      <c r="I75" s="984"/>
      <c r="J75" s="984"/>
      <c r="K75" s="480">
        <v>0.121</v>
      </c>
      <c r="L75" s="481">
        <f t="shared" ref="L75:L82" si="1">K75*$L$27</f>
        <v>314.13439199999999</v>
      </c>
    </row>
    <row r="76" spans="1:13" ht="21.75" customHeight="1" x14ac:dyDescent="0.25">
      <c r="A76" s="277"/>
      <c r="B76" s="306" t="s">
        <v>122</v>
      </c>
      <c r="C76" s="767" t="s">
        <v>183</v>
      </c>
      <c r="D76" s="767"/>
      <c r="E76" s="767"/>
      <c r="F76" s="338" t="s">
        <v>184</v>
      </c>
      <c r="G76" s="369">
        <v>5</v>
      </c>
      <c r="H76" s="814" t="s">
        <v>185</v>
      </c>
      <c r="I76" s="814"/>
      <c r="J76" s="482">
        <v>1</v>
      </c>
      <c r="K76" s="483">
        <f t="shared" ref="K76:K81" si="2">G76/360*J76</f>
        <v>1.3888888888888888E-2</v>
      </c>
      <c r="L76" s="358">
        <f t="shared" si="1"/>
        <v>36.057666666666663</v>
      </c>
    </row>
    <row r="77" spans="1:13" ht="21.75" customHeight="1" x14ac:dyDescent="0.25">
      <c r="A77" s="277"/>
      <c r="B77" s="306" t="s">
        <v>125</v>
      </c>
      <c r="C77" s="767" t="s">
        <v>186</v>
      </c>
      <c r="D77" s="767"/>
      <c r="E77" s="767"/>
      <c r="F77" s="338" t="s">
        <v>184</v>
      </c>
      <c r="G77" s="369">
        <v>5</v>
      </c>
      <c r="H77" s="814" t="s">
        <v>185</v>
      </c>
      <c r="I77" s="814"/>
      <c r="J77" s="482">
        <v>1</v>
      </c>
      <c r="K77" s="483">
        <f t="shared" si="2"/>
        <v>1.3888888888888888E-2</v>
      </c>
      <c r="L77" s="358">
        <f t="shared" si="1"/>
        <v>36.057666666666663</v>
      </c>
    </row>
    <row r="78" spans="1:13" ht="21.75" customHeight="1" x14ac:dyDescent="0.25">
      <c r="A78" s="277"/>
      <c r="B78" s="306" t="s">
        <v>130</v>
      </c>
      <c r="C78" s="767" t="s">
        <v>187</v>
      </c>
      <c r="D78" s="767"/>
      <c r="E78" s="767"/>
      <c r="F78" s="338" t="s">
        <v>184</v>
      </c>
      <c r="G78" s="369">
        <v>5</v>
      </c>
      <c r="H78" s="814" t="s">
        <v>185</v>
      </c>
      <c r="I78" s="814"/>
      <c r="J78" s="484">
        <v>1.4999999999999999E-2</v>
      </c>
      <c r="K78" s="483">
        <f t="shared" si="2"/>
        <v>2.0833333333333332E-4</v>
      </c>
      <c r="L78" s="358">
        <f t="shared" si="1"/>
        <v>0.54086499999999993</v>
      </c>
    </row>
    <row r="79" spans="1:13" ht="21.75" customHeight="1" x14ac:dyDescent="0.25">
      <c r="A79" s="277"/>
      <c r="B79" s="306" t="s">
        <v>132</v>
      </c>
      <c r="C79" s="767" t="s">
        <v>188</v>
      </c>
      <c r="D79" s="767"/>
      <c r="E79" s="767"/>
      <c r="F79" s="338" t="s">
        <v>184</v>
      </c>
      <c r="G79" s="369">
        <v>2</v>
      </c>
      <c r="H79" s="814" t="s">
        <v>185</v>
      </c>
      <c r="I79" s="814"/>
      <c r="J79" s="484">
        <v>0.01</v>
      </c>
      <c r="K79" s="483">
        <f t="shared" si="2"/>
        <v>5.5555555555555558E-5</v>
      </c>
      <c r="L79" s="358">
        <f t="shared" si="1"/>
        <v>0.14423066666666667</v>
      </c>
    </row>
    <row r="80" spans="1:13" ht="21.75" customHeight="1" x14ac:dyDescent="0.25">
      <c r="A80" s="277"/>
      <c r="B80" s="306" t="s">
        <v>133</v>
      </c>
      <c r="C80" s="767" t="s">
        <v>189</v>
      </c>
      <c r="D80" s="767"/>
      <c r="E80" s="767"/>
      <c r="F80" s="338" t="s">
        <v>184</v>
      </c>
      <c r="G80" s="369">
        <v>0</v>
      </c>
      <c r="H80" s="814" t="s">
        <v>185</v>
      </c>
      <c r="I80" s="814"/>
      <c r="J80" s="484">
        <v>0.02</v>
      </c>
      <c r="K80" s="483">
        <f t="shared" si="2"/>
        <v>0</v>
      </c>
      <c r="L80" s="358">
        <f t="shared" si="1"/>
        <v>0</v>
      </c>
    </row>
    <row r="81" spans="1:12" ht="21.75" customHeight="1" x14ac:dyDescent="0.25">
      <c r="A81" s="277"/>
      <c r="B81" s="306" t="s">
        <v>135</v>
      </c>
      <c r="C81" s="816" t="s">
        <v>136</v>
      </c>
      <c r="D81" s="816"/>
      <c r="E81" s="816"/>
      <c r="F81" s="338" t="s">
        <v>184</v>
      </c>
      <c r="G81" s="369"/>
      <c r="H81" s="814" t="s">
        <v>185</v>
      </c>
      <c r="I81" s="814"/>
      <c r="J81" s="369"/>
      <c r="K81" s="483">
        <f t="shared" si="2"/>
        <v>0</v>
      </c>
      <c r="L81" s="358">
        <f t="shared" si="1"/>
        <v>0</v>
      </c>
    </row>
    <row r="82" spans="1:12" ht="21.75" customHeight="1" thickBot="1" x14ac:dyDescent="0.3">
      <c r="A82" s="277"/>
      <c r="B82" s="309" t="s">
        <v>153</v>
      </c>
      <c r="C82" s="817" t="s">
        <v>190</v>
      </c>
      <c r="D82" s="817"/>
      <c r="E82" s="817"/>
      <c r="F82" s="817"/>
      <c r="G82" s="817"/>
      <c r="H82" s="817"/>
      <c r="I82" s="817"/>
      <c r="J82" s="817"/>
      <c r="K82" s="485">
        <f>SUM(K75:K81)*K45</f>
        <v>5.4847333333333352E-2</v>
      </c>
      <c r="L82" s="486">
        <f t="shared" si="1"/>
        <v>142.39201412800006</v>
      </c>
    </row>
    <row r="83" spans="1:12" ht="21.75" customHeight="1" thickBot="1" x14ac:dyDescent="0.3">
      <c r="A83" s="277"/>
      <c r="B83" s="790" t="s">
        <v>162</v>
      </c>
      <c r="C83" s="791"/>
      <c r="D83" s="791"/>
      <c r="E83" s="791"/>
      <c r="F83" s="791"/>
      <c r="G83" s="791"/>
      <c r="H83" s="791"/>
      <c r="I83" s="791"/>
      <c r="J83" s="791"/>
      <c r="K83" s="487">
        <f>SUM(K75:K82)</f>
        <v>0.20388900000000004</v>
      </c>
      <c r="L83" s="488">
        <f>SUM(L75:L82)</f>
        <v>529.32683512799997</v>
      </c>
    </row>
    <row r="84" spans="1:12" ht="21.75" customHeight="1" thickBot="1" x14ac:dyDescent="0.3">
      <c r="A84" s="277"/>
      <c r="B84" s="760"/>
      <c r="C84" s="760"/>
      <c r="D84" s="760"/>
      <c r="E84" s="760"/>
      <c r="F84" s="760"/>
      <c r="G84" s="760"/>
      <c r="H84" s="760"/>
      <c r="I84" s="760"/>
      <c r="J84" s="760"/>
      <c r="K84" s="760"/>
      <c r="L84" s="760"/>
    </row>
    <row r="85" spans="1:12" ht="21.75" customHeight="1" thickBot="1" x14ac:dyDescent="0.3">
      <c r="A85" s="277"/>
      <c r="B85" s="781" t="s">
        <v>471</v>
      </c>
      <c r="C85" s="782"/>
      <c r="D85" s="782"/>
      <c r="E85" s="782"/>
      <c r="F85" s="782"/>
      <c r="G85" s="782"/>
      <c r="H85" s="782"/>
      <c r="I85" s="782"/>
      <c r="J85" s="782"/>
      <c r="K85" s="782"/>
      <c r="L85" s="783"/>
    </row>
    <row r="86" spans="1:12" ht="21.75" customHeight="1" x14ac:dyDescent="0.25">
      <c r="A86" s="277"/>
      <c r="B86" s="472" t="s">
        <v>120</v>
      </c>
      <c r="C86" s="984" t="s">
        <v>192</v>
      </c>
      <c r="D86" s="984"/>
      <c r="E86" s="984"/>
      <c r="F86" s="984"/>
      <c r="G86" s="984"/>
      <c r="H86" s="984"/>
      <c r="I86" s="984"/>
      <c r="J86" s="984"/>
      <c r="K86" s="494"/>
      <c r="L86" s="495"/>
    </row>
    <row r="87" spans="1:12" ht="21.75" customHeight="1" thickBot="1" x14ac:dyDescent="0.3">
      <c r="A87" s="277"/>
      <c r="B87" s="306" t="s">
        <v>122</v>
      </c>
      <c r="C87" s="767" t="s">
        <v>193</v>
      </c>
      <c r="D87" s="767"/>
      <c r="E87" s="767"/>
      <c r="F87" s="767"/>
      <c r="G87" s="767"/>
      <c r="H87" s="767"/>
      <c r="I87" s="767"/>
      <c r="J87" s="767"/>
      <c r="K87" s="492">
        <f>K86*D36</f>
        <v>0</v>
      </c>
      <c r="L87" s="493"/>
    </row>
    <row r="88" spans="1:12" ht="21.75" customHeight="1" thickBot="1" x14ac:dyDescent="0.3">
      <c r="A88" s="277"/>
      <c r="B88" s="790" t="s">
        <v>162</v>
      </c>
      <c r="C88" s="791" t="s">
        <v>162</v>
      </c>
      <c r="D88" s="791"/>
      <c r="E88" s="791"/>
      <c r="F88" s="791"/>
      <c r="G88" s="791"/>
      <c r="H88" s="791"/>
      <c r="I88" s="791"/>
      <c r="J88" s="791"/>
      <c r="K88" s="953"/>
      <c r="L88" s="362">
        <f>SUM(L87+L86)</f>
        <v>0</v>
      </c>
    </row>
    <row r="89" spans="1:12" ht="21.75" customHeight="1" thickBot="1" x14ac:dyDescent="0.3">
      <c r="A89" s="277"/>
      <c r="B89" s="760"/>
      <c r="C89" s="760"/>
      <c r="D89" s="760"/>
      <c r="E89" s="760"/>
      <c r="F89" s="760"/>
      <c r="G89" s="760"/>
      <c r="H89" s="760"/>
      <c r="I89" s="760"/>
      <c r="J89" s="760"/>
      <c r="K89" s="760"/>
      <c r="L89" s="760"/>
    </row>
    <row r="90" spans="1:12" ht="21.75" customHeight="1" thickBot="1" x14ac:dyDescent="0.3">
      <c r="A90" s="277"/>
      <c r="B90" s="796" t="s">
        <v>473</v>
      </c>
      <c r="C90" s="797"/>
      <c r="D90" s="797"/>
      <c r="E90" s="797"/>
      <c r="F90" s="797"/>
      <c r="G90" s="797"/>
      <c r="H90" s="797"/>
      <c r="I90" s="797"/>
      <c r="J90" s="797"/>
      <c r="K90" s="797"/>
      <c r="L90" s="798"/>
    </row>
    <row r="91" spans="1:12" ht="21.75" customHeight="1" x14ac:dyDescent="0.25">
      <c r="A91" s="277"/>
      <c r="B91" s="472" t="s">
        <v>195</v>
      </c>
      <c r="C91" s="984" t="s">
        <v>196</v>
      </c>
      <c r="D91" s="984"/>
      <c r="E91" s="984"/>
      <c r="F91" s="984"/>
      <c r="G91" s="984"/>
      <c r="H91" s="984"/>
      <c r="I91" s="984"/>
      <c r="J91" s="984"/>
      <c r="K91" s="489"/>
      <c r="L91" s="490">
        <f>L83</f>
        <v>529.32683512799997</v>
      </c>
    </row>
    <row r="92" spans="1:12" ht="21.75" customHeight="1" thickBot="1" x14ac:dyDescent="0.3">
      <c r="A92" s="277"/>
      <c r="B92" s="306" t="s">
        <v>197</v>
      </c>
      <c r="C92" s="767" t="s">
        <v>198</v>
      </c>
      <c r="D92" s="767"/>
      <c r="E92" s="767"/>
      <c r="F92" s="767"/>
      <c r="G92" s="767"/>
      <c r="H92" s="767"/>
      <c r="I92" s="767"/>
      <c r="J92" s="767"/>
      <c r="K92" s="491"/>
      <c r="L92" s="322">
        <f>L88</f>
        <v>0</v>
      </c>
    </row>
    <row r="93" spans="1:12" ht="21.75" customHeight="1" thickBot="1" x14ac:dyDescent="0.3">
      <c r="A93" s="277"/>
      <c r="B93" s="790" t="s">
        <v>162</v>
      </c>
      <c r="C93" s="791" t="s">
        <v>162</v>
      </c>
      <c r="D93" s="791"/>
      <c r="E93" s="791"/>
      <c r="F93" s="791"/>
      <c r="G93" s="791"/>
      <c r="H93" s="791"/>
      <c r="I93" s="791"/>
      <c r="J93" s="791"/>
      <c r="K93" s="953"/>
      <c r="L93" s="362">
        <f>L91+L92</f>
        <v>529.32683512799997</v>
      </c>
    </row>
    <row r="94" spans="1:12" ht="21.75" customHeight="1" thickBot="1" x14ac:dyDescent="0.3">
      <c r="A94" s="277"/>
      <c r="B94" s="760"/>
      <c r="C94" s="760"/>
      <c r="D94" s="760"/>
      <c r="E94" s="760"/>
      <c r="F94" s="760"/>
      <c r="G94" s="760"/>
      <c r="H94" s="760"/>
      <c r="I94" s="760"/>
      <c r="J94" s="760"/>
      <c r="K94" s="760"/>
      <c r="L94" s="760"/>
    </row>
    <row r="95" spans="1:12" ht="21.75" customHeight="1" thickBot="1" x14ac:dyDescent="0.3">
      <c r="A95" s="270"/>
      <c r="B95" s="845" t="s">
        <v>199</v>
      </c>
      <c r="C95" s="846"/>
      <c r="D95" s="846"/>
      <c r="E95" s="846"/>
      <c r="F95" s="846"/>
      <c r="G95" s="846"/>
      <c r="H95" s="846"/>
      <c r="I95" s="846"/>
      <c r="J95" s="846"/>
      <c r="K95" s="846"/>
      <c r="L95" s="847"/>
    </row>
    <row r="96" spans="1:12" ht="21.75" customHeight="1" x14ac:dyDescent="0.25">
      <c r="A96" s="270"/>
      <c r="B96" s="499" t="s">
        <v>120</v>
      </c>
      <c r="C96" s="989" t="s">
        <v>201</v>
      </c>
      <c r="D96" s="989"/>
      <c r="E96" s="989"/>
      <c r="F96" s="989"/>
      <c r="G96" s="989"/>
      <c r="H96" s="989"/>
      <c r="I96" s="989"/>
      <c r="J96" s="989"/>
      <c r="K96" s="989"/>
      <c r="L96" s="471">
        <f>'DADOS INICIAIS'!I85</f>
        <v>102.16999999999999</v>
      </c>
    </row>
    <row r="97" spans="1:12" ht="21.75" customHeight="1" x14ac:dyDescent="0.25">
      <c r="A97" s="270"/>
      <c r="B97" s="464" t="s">
        <v>122</v>
      </c>
      <c r="C97" s="773" t="s">
        <v>284</v>
      </c>
      <c r="D97" s="773"/>
      <c r="E97" s="773"/>
      <c r="F97" s="773"/>
      <c r="G97" s="773"/>
      <c r="H97" s="773"/>
      <c r="I97" s="773"/>
      <c r="J97" s="773"/>
      <c r="K97" s="773"/>
      <c r="L97" s="439">
        <f>Equipamentos!E78</f>
        <v>286.60624999999999</v>
      </c>
    </row>
    <row r="98" spans="1:12" ht="21.75" customHeight="1" x14ac:dyDescent="0.25">
      <c r="A98" s="270"/>
      <c r="B98" s="996" t="s">
        <v>125</v>
      </c>
      <c r="C98" s="997" t="s">
        <v>136</v>
      </c>
      <c r="D98" s="997"/>
      <c r="E98" s="828"/>
      <c r="F98" s="828"/>
      <c r="G98" s="828"/>
      <c r="H98" s="828"/>
      <c r="I98" s="828"/>
      <c r="J98" s="828"/>
      <c r="K98" s="828"/>
      <c r="L98" s="498">
        <v>0</v>
      </c>
    </row>
    <row r="99" spans="1:12" ht="21.75" customHeight="1" thickBot="1" x14ac:dyDescent="0.3">
      <c r="A99" s="270"/>
      <c r="B99" s="996"/>
      <c r="C99" s="997"/>
      <c r="D99" s="997"/>
      <c r="E99" s="828" t="s">
        <v>203</v>
      </c>
      <c r="F99" s="828"/>
      <c r="G99" s="828"/>
      <c r="H99" s="828"/>
      <c r="I99" s="828"/>
      <c r="J99" s="828"/>
      <c r="K99" s="828"/>
      <c r="L99" s="498">
        <f>K99*L27</f>
        <v>0</v>
      </c>
    </row>
    <row r="100" spans="1:12" s="278" customFormat="1" ht="21.75" customHeight="1" thickBot="1" x14ac:dyDescent="0.3">
      <c r="A100" s="277"/>
      <c r="B100" s="790" t="s">
        <v>162</v>
      </c>
      <c r="C100" s="791"/>
      <c r="D100" s="791"/>
      <c r="E100" s="791"/>
      <c r="F100" s="791"/>
      <c r="G100" s="791"/>
      <c r="H100" s="791"/>
      <c r="I100" s="791"/>
      <c r="J100" s="791"/>
      <c r="K100" s="953"/>
      <c r="L100" s="362">
        <f>SUM(L96:L99)</f>
        <v>388.77625</v>
      </c>
    </row>
    <row r="101" spans="1:12" s="497" customFormat="1" ht="21.75" customHeight="1" x14ac:dyDescent="0.25">
      <c r="A101" s="496"/>
      <c r="B101" s="500"/>
      <c r="C101" s="501"/>
      <c r="D101" s="501"/>
      <c r="E101" s="501"/>
      <c r="F101" s="501"/>
      <c r="G101" s="501"/>
      <c r="H101" s="501"/>
      <c r="I101" s="501"/>
      <c r="J101" s="501"/>
      <c r="K101" s="501"/>
      <c r="L101" s="502"/>
    </row>
    <row r="102" spans="1:12" ht="21.75" customHeight="1" x14ac:dyDescent="0.25">
      <c r="A102" s="277"/>
      <c r="B102" s="998" t="s">
        <v>205</v>
      </c>
      <c r="C102" s="998"/>
      <c r="D102" s="998"/>
      <c r="E102" s="998"/>
      <c r="F102" s="998"/>
      <c r="G102" s="998"/>
      <c r="H102" s="998"/>
      <c r="I102" s="998"/>
      <c r="J102" s="998"/>
      <c r="K102" s="998"/>
      <c r="L102" s="998"/>
    </row>
    <row r="103" spans="1:12" ht="21.75" customHeight="1" x14ac:dyDescent="0.25">
      <c r="A103" s="277"/>
      <c r="B103" s="841" t="s">
        <v>206</v>
      </c>
      <c r="C103" s="841"/>
      <c r="D103" s="841"/>
      <c r="E103" s="841"/>
      <c r="F103" s="841"/>
      <c r="G103" s="841"/>
      <c r="H103" s="841"/>
      <c r="I103" s="841"/>
      <c r="J103" s="841"/>
      <c r="K103" s="841"/>
      <c r="L103" s="418" t="s">
        <v>200</v>
      </c>
    </row>
    <row r="104" spans="1:12" ht="21.75" customHeight="1" x14ac:dyDescent="0.25">
      <c r="A104" s="277"/>
      <c r="B104" s="418" t="s">
        <v>120</v>
      </c>
      <c r="C104" s="825" t="s">
        <v>119</v>
      </c>
      <c r="D104" s="825"/>
      <c r="E104" s="825"/>
      <c r="F104" s="825"/>
      <c r="G104" s="825"/>
      <c r="H104" s="825"/>
      <c r="I104" s="825"/>
      <c r="J104" s="825"/>
      <c r="K104" s="825"/>
      <c r="L104" s="456">
        <f>L27</f>
        <v>2596.152</v>
      </c>
    </row>
    <row r="105" spans="1:12" ht="21.75" customHeight="1" x14ac:dyDescent="0.25">
      <c r="A105" s="277"/>
      <c r="B105" s="418" t="s">
        <v>122</v>
      </c>
      <c r="C105" s="825" t="s">
        <v>207</v>
      </c>
      <c r="D105" s="825"/>
      <c r="E105" s="825"/>
      <c r="F105" s="825"/>
      <c r="G105" s="825"/>
      <c r="H105" s="825"/>
      <c r="I105" s="825"/>
      <c r="J105" s="825"/>
      <c r="K105" s="825"/>
      <c r="L105" s="456">
        <f>L63</f>
        <v>2356.4578203333331</v>
      </c>
    </row>
    <row r="106" spans="1:12" ht="21.75" customHeight="1" x14ac:dyDescent="0.25">
      <c r="A106" s="277"/>
      <c r="B106" s="418" t="s">
        <v>125</v>
      </c>
      <c r="C106" s="825" t="s">
        <v>170</v>
      </c>
      <c r="D106" s="825"/>
      <c r="E106" s="825"/>
      <c r="F106" s="825"/>
      <c r="G106" s="825"/>
      <c r="H106" s="825"/>
      <c r="I106" s="825"/>
      <c r="J106" s="825"/>
      <c r="K106" s="825"/>
      <c r="L106" s="456">
        <f>L71</f>
        <v>193.55755466666665</v>
      </c>
    </row>
    <row r="107" spans="1:12" ht="21.75" customHeight="1" x14ac:dyDescent="0.25">
      <c r="A107" s="277"/>
      <c r="B107" s="418" t="s">
        <v>130</v>
      </c>
      <c r="C107" s="825" t="s">
        <v>180</v>
      </c>
      <c r="D107" s="825"/>
      <c r="E107" s="825"/>
      <c r="F107" s="825"/>
      <c r="G107" s="825"/>
      <c r="H107" s="825"/>
      <c r="I107" s="825"/>
      <c r="J107" s="825"/>
      <c r="K107" s="825"/>
      <c r="L107" s="456">
        <f>L93</f>
        <v>529.32683512799997</v>
      </c>
    </row>
    <row r="108" spans="1:12" ht="21.75" customHeight="1" thickBot="1" x14ac:dyDescent="0.3">
      <c r="A108" s="277"/>
      <c r="B108" s="418" t="s">
        <v>132</v>
      </c>
      <c r="C108" s="825" t="s">
        <v>208</v>
      </c>
      <c r="D108" s="825"/>
      <c r="E108" s="825"/>
      <c r="F108" s="825"/>
      <c r="G108" s="825"/>
      <c r="H108" s="825"/>
      <c r="I108" s="825"/>
      <c r="J108" s="825"/>
      <c r="K108" s="825"/>
      <c r="L108" s="456">
        <f>L100</f>
        <v>388.77625</v>
      </c>
    </row>
    <row r="109" spans="1:12" ht="21.75" customHeight="1" thickBot="1" x14ac:dyDescent="0.3">
      <c r="A109" s="270"/>
      <c r="B109" s="790" t="s">
        <v>209</v>
      </c>
      <c r="C109" s="791"/>
      <c r="D109" s="791"/>
      <c r="E109" s="791"/>
      <c r="F109" s="791"/>
      <c r="G109" s="791"/>
      <c r="H109" s="791"/>
      <c r="I109" s="791"/>
      <c r="J109" s="791"/>
      <c r="K109" s="953"/>
      <c r="L109" s="362">
        <f>SUM(L104:L108)</f>
        <v>6064.2704601280002</v>
      </c>
    </row>
    <row r="110" spans="1:12" ht="21.75" customHeight="1" x14ac:dyDescent="0.25">
      <c r="A110" s="270"/>
      <c r="B110" s="868"/>
      <c r="C110" s="868"/>
      <c r="D110" s="868"/>
      <c r="E110" s="868"/>
      <c r="F110" s="868"/>
      <c r="G110" s="868"/>
      <c r="H110" s="868"/>
      <c r="I110" s="868"/>
      <c r="J110" s="868"/>
      <c r="K110" s="868"/>
      <c r="L110" s="868"/>
    </row>
    <row r="111" spans="1:12" ht="21.75" customHeight="1" x14ac:dyDescent="0.25">
      <c r="A111" s="270"/>
      <c r="B111" s="848" t="s">
        <v>210</v>
      </c>
      <c r="C111" s="849"/>
      <c r="D111" s="849"/>
      <c r="E111" s="849"/>
      <c r="F111" s="849"/>
      <c r="G111" s="849"/>
      <c r="H111" s="849"/>
      <c r="I111" s="849"/>
      <c r="J111" s="849"/>
      <c r="K111" s="849"/>
      <c r="L111" s="850"/>
    </row>
    <row r="112" spans="1:12" ht="21.75" customHeight="1" x14ac:dyDescent="0.25">
      <c r="A112" s="270"/>
      <c r="B112" s="418" t="s">
        <v>120</v>
      </c>
      <c r="C112" s="851" t="s">
        <v>211</v>
      </c>
      <c r="D112" s="852"/>
      <c r="E112" s="852"/>
      <c r="F112" s="852"/>
      <c r="G112" s="852"/>
      <c r="H112" s="852"/>
      <c r="I112" s="852"/>
      <c r="J112" s="853"/>
      <c r="K112" s="436">
        <f>'DADOS INICIAIS'!H91</f>
        <v>0.06</v>
      </c>
      <c r="L112" s="439">
        <f>L109*K112</f>
        <v>363.85622760768001</v>
      </c>
    </row>
    <row r="113" spans="1:13" ht="21.75" customHeight="1" x14ac:dyDescent="0.25">
      <c r="A113" s="270"/>
      <c r="B113" s="418" t="s">
        <v>122</v>
      </c>
      <c r="C113" s="851" t="s">
        <v>212</v>
      </c>
      <c r="D113" s="852"/>
      <c r="E113" s="852"/>
      <c r="F113" s="852"/>
      <c r="G113" s="852"/>
      <c r="H113" s="852"/>
      <c r="I113" s="852"/>
      <c r="J113" s="853"/>
      <c r="K113" s="436">
        <f>'DADOS INICIAIS'!H92</f>
        <v>6.7900000000000002E-2</v>
      </c>
      <c r="L113" s="439">
        <f>(L109+L112)*K113</f>
        <v>436.46980209725268</v>
      </c>
    </row>
    <row r="114" spans="1:13" ht="21.75" customHeight="1" x14ac:dyDescent="0.25">
      <c r="A114" s="270"/>
      <c r="B114" s="869" t="s">
        <v>125</v>
      </c>
      <c r="C114" s="854" t="s">
        <v>213</v>
      </c>
      <c r="D114" s="778"/>
      <c r="E114" s="778"/>
      <c r="F114" s="778"/>
      <c r="G114" s="778"/>
      <c r="H114" s="778"/>
      <c r="I114" s="779"/>
      <c r="J114" s="437" t="s">
        <v>60</v>
      </c>
      <c r="K114" s="870">
        <f>SUM(J115:J117)</f>
        <v>9.6500000000000002E-2</v>
      </c>
      <c r="L114" s="871">
        <f>K114*L120</f>
        <v>733.18601136566474</v>
      </c>
    </row>
    <row r="115" spans="1:13" ht="21.75" customHeight="1" x14ac:dyDescent="0.25">
      <c r="A115" s="270"/>
      <c r="B115" s="869"/>
      <c r="C115" s="855" t="s">
        <v>214</v>
      </c>
      <c r="D115" s="856"/>
      <c r="E115" s="856"/>
      <c r="F115" s="857"/>
      <c r="G115" s="861" t="s">
        <v>215</v>
      </c>
      <c r="H115" s="862"/>
      <c r="I115" s="863"/>
      <c r="J115" s="436">
        <f>'DADOS INICIAIS'!H96</f>
        <v>1.6500000000000001E-2</v>
      </c>
      <c r="K115" s="870"/>
      <c r="L115" s="871"/>
    </row>
    <row r="116" spans="1:13" ht="21.75" customHeight="1" x14ac:dyDescent="0.25">
      <c r="A116" s="270"/>
      <c r="B116" s="869"/>
      <c r="C116" s="858"/>
      <c r="D116" s="859"/>
      <c r="E116" s="859"/>
      <c r="F116" s="860"/>
      <c r="G116" s="861" t="s">
        <v>216</v>
      </c>
      <c r="H116" s="862"/>
      <c r="I116" s="863"/>
      <c r="J116" s="436">
        <f>'DADOS INICIAIS'!H97</f>
        <v>0.03</v>
      </c>
      <c r="K116" s="870"/>
      <c r="L116" s="871"/>
    </row>
    <row r="117" spans="1:13" ht="21.75" customHeight="1" thickBot="1" x14ac:dyDescent="0.3">
      <c r="A117" s="270"/>
      <c r="B117" s="869"/>
      <c r="C117" s="861" t="s">
        <v>217</v>
      </c>
      <c r="D117" s="862"/>
      <c r="E117" s="862"/>
      <c r="F117" s="863"/>
      <c r="G117" s="861" t="s">
        <v>218</v>
      </c>
      <c r="H117" s="862"/>
      <c r="I117" s="863"/>
      <c r="J117" s="436">
        <f>'DADOS INICIAIS'!H98</f>
        <v>0.05</v>
      </c>
      <c r="K117" s="870"/>
      <c r="L117" s="871"/>
      <c r="M117" s="280"/>
    </row>
    <row r="118" spans="1:13" s="278" customFormat="1" ht="21.75" customHeight="1" thickBot="1" x14ac:dyDescent="0.3">
      <c r="A118" s="277"/>
      <c r="B118" s="790" t="s">
        <v>219</v>
      </c>
      <c r="C118" s="791"/>
      <c r="D118" s="791"/>
      <c r="E118" s="791"/>
      <c r="F118" s="791"/>
      <c r="G118" s="791"/>
      <c r="H118" s="791"/>
      <c r="I118" s="791"/>
      <c r="J118" s="791"/>
      <c r="K118" s="953"/>
      <c r="L118" s="362">
        <f>SUM(L112:L117)</f>
        <v>1533.5120410705974</v>
      </c>
    </row>
    <row r="119" spans="1:13" ht="9.75" customHeight="1" thickBot="1" x14ac:dyDescent="0.3">
      <c r="A119" s="270"/>
      <c r="B119" s="272"/>
      <c r="C119" s="270"/>
      <c r="D119" s="270"/>
      <c r="E119" s="270"/>
      <c r="F119" s="270"/>
      <c r="G119" s="270"/>
      <c r="H119" s="270"/>
      <c r="I119" s="270"/>
      <c r="J119" s="270"/>
      <c r="K119" s="270"/>
      <c r="L119" s="273"/>
    </row>
    <row r="120" spans="1:13" ht="21.75" customHeight="1" thickBot="1" x14ac:dyDescent="0.3">
      <c r="A120" s="270"/>
      <c r="B120" s="790" t="s">
        <v>221</v>
      </c>
      <c r="C120" s="791"/>
      <c r="D120" s="791"/>
      <c r="E120" s="791"/>
      <c r="F120" s="791"/>
      <c r="G120" s="791"/>
      <c r="H120" s="791"/>
      <c r="I120" s="791"/>
      <c r="J120" s="791"/>
      <c r="K120" s="953"/>
      <c r="L120" s="362">
        <f>(L109+L112+L113)/(1-K114)</f>
        <v>7597.7825011985979</v>
      </c>
    </row>
    <row r="121" spans="1:13" ht="10.5" customHeight="1" thickBot="1" x14ac:dyDescent="0.3">
      <c r="A121" s="270"/>
      <c r="B121" s="272"/>
      <c r="C121" s="270"/>
      <c r="D121" s="270"/>
      <c r="E121" s="270"/>
      <c r="F121" s="270"/>
      <c r="G121" s="270"/>
      <c r="H121" s="270"/>
      <c r="I121" s="270"/>
      <c r="J121" s="270"/>
      <c r="K121" s="270"/>
      <c r="L121" s="273"/>
    </row>
    <row r="122" spans="1:13" ht="35.4" customHeight="1" thickBot="1" x14ac:dyDescent="0.3">
      <c r="A122" s="270"/>
      <c r="B122" s="835" t="s">
        <v>285</v>
      </c>
      <c r="C122" s="836"/>
      <c r="D122" s="836"/>
      <c r="E122" s="836"/>
      <c r="F122" s="836"/>
      <c r="G122" s="836"/>
      <c r="H122" s="836"/>
      <c r="I122" s="836"/>
      <c r="J122" s="836"/>
      <c r="K122" s="836"/>
      <c r="L122" s="837"/>
    </row>
    <row r="123" spans="1:13" ht="72.599999999999994" customHeight="1" x14ac:dyDescent="0.25">
      <c r="A123" s="270"/>
      <c r="B123" s="838" t="s">
        <v>223</v>
      </c>
      <c r="C123" s="839"/>
      <c r="D123" s="839"/>
      <c r="E123" s="840" t="s">
        <v>224</v>
      </c>
      <c r="F123" s="840"/>
      <c r="G123" s="840" t="s">
        <v>225</v>
      </c>
      <c r="H123" s="840"/>
      <c r="I123" s="840" t="s">
        <v>226</v>
      </c>
      <c r="J123" s="840"/>
      <c r="K123" s="447" t="s">
        <v>227</v>
      </c>
      <c r="L123" s="448" t="s">
        <v>228</v>
      </c>
    </row>
    <row r="124" spans="1:13" ht="21.75" customHeight="1" thickBot="1" x14ac:dyDescent="0.3">
      <c r="A124" s="270"/>
      <c r="B124" s="999" t="str">
        <f>L24</f>
        <v>Auxiliar Manutenção</v>
      </c>
      <c r="C124" s="1000"/>
      <c r="D124" s="1000"/>
      <c r="E124" s="1001">
        <f>L120</f>
        <v>7597.7825011985979</v>
      </c>
      <c r="F124" s="1001"/>
      <c r="G124" s="1002">
        <v>1</v>
      </c>
      <c r="H124" s="1002"/>
      <c r="I124" s="1001">
        <f>G124*E124</f>
        <v>7597.7825011985979</v>
      </c>
      <c r="J124" s="1001"/>
      <c r="K124" s="503">
        <f>J11</f>
        <v>1</v>
      </c>
      <c r="L124" s="504">
        <f>ROUND(K124*I124,2)</f>
        <v>7597.78</v>
      </c>
    </row>
    <row r="125" spans="1:13" ht="21.75" customHeight="1" thickBot="1" x14ac:dyDescent="0.3">
      <c r="A125" s="270"/>
      <c r="B125" s="790" t="s">
        <v>230</v>
      </c>
      <c r="C125" s="791"/>
      <c r="D125" s="791"/>
      <c r="E125" s="791"/>
      <c r="F125" s="791"/>
      <c r="G125" s="791"/>
      <c r="H125" s="791"/>
      <c r="I125" s="791"/>
      <c r="J125" s="791"/>
      <c r="K125" s="953"/>
      <c r="L125" s="362">
        <f>L124</f>
        <v>7597.78</v>
      </c>
    </row>
    <row r="126" spans="1:13" ht="21.75" customHeight="1" x14ac:dyDescent="0.25">
      <c r="A126" s="270"/>
      <c r="B126" s="283"/>
      <c r="C126" s="283"/>
      <c r="D126" s="283"/>
      <c r="E126" s="283"/>
      <c r="F126" s="283"/>
      <c r="G126" s="283"/>
      <c r="H126" s="283"/>
      <c r="I126" s="283"/>
      <c r="J126" s="283"/>
      <c r="K126" s="283"/>
      <c r="L126" s="282"/>
    </row>
    <row r="127" spans="1:13" ht="12" customHeight="1" x14ac:dyDescent="0.25">
      <c r="A127" s="270"/>
      <c r="B127" s="270"/>
      <c r="C127" s="270"/>
      <c r="D127" s="270"/>
      <c r="E127" s="270"/>
      <c r="F127" s="270"/>
      <c r="G127" s="270"/>
      <c r="H127" s="270"/>
      <c r="I127" s="270"/>
      <c r="J127" s="270"/>
      <c r="K127" s="270"/>
      <c r="L127" s="270"/>
    </row>
    <row r="128" spans="1:13" ht="21.75" customHeight="1" x14ac:dyDescent="0.25">
      <c r="A128" s="270"/>
      <c r="B128" s="284"/>
      <c r="C128" s="284"/>
      <c r="D128" s="284"/>
      <c r="E128" s="284"/>
      <c r="F128" s="284"/>
      <c r="G128" s="284"/>
      <c r="H128" s="284"/>
      <c r="I128" s="284"/>
      <c r="J128" s="284"/>
      <c r="K128" s="284"/>
      <c r="L128" s="284"/>
    </row>
    <row r="129" spans="1:12" ht="21.75" customHeight="1" x14ac:dyDescent="0.25">
      <c r="A129" s="270"/>
      <c r="B129" s="285"/>
      <c r="C129" s="285"/>
      <c r="D129" s="285"/>
      <c r="E129" s="285"/>
      <c r="F129" s="285"/>
      <c r="G129" s="285"/>
      <c r="H129" s="285"/>
      <c r="I129" s="285"/>
      <c r="J129" s="285"/>
      <c r="K129" s="285"/>
      <c r="L129" s="285"/>
    </row>
    <row r="130" spans="1:12" ht="21.75" customHeight="1" x14ac:dyDescent="0.25">
      <c r="A130" s="270"/>
      <c r="B130" s="277"/>
      <c r="C130" s="277"/>
      <c r="D130" s="277"/>
      <c r="E130" s="277"/>
      <c r="F130" s="277"/>
      <c r="G130" s="277"/>
      <c r="H130" s="277"/>
      <c r="I130" s="286"/>
      <c r="J130" s="286"/>
      <c r="K130" s="286"/>
      <c r="L130" s="286"/>
    </row>
    <row r="131" spans="1:12" ht="21.75" customHeight="1" x14ac:dyDescent="0.25">
      <c r="A131" s="270"/>
      <c r="B131" s="277"/>
      <c r="C131" s="277"/>
      <c r="D131" s="277"/>
      <c r="E131" s="277"/>
      <c r="F131" s="277"/>
      <c r="G131" s="277"/>
      <c r="H131" s="277"/>
      <c r="I131" s="287"/>
      <c r="J131" s="287"/>
      <c r="K131" s="286"/>
      <c r="L131" s="286"/>
    </row>
    <row r="132" spans="1:12" ht="36.75" customHeight="1" x14ac:dyDescent="0.25">
      <c r="A132" s="270"/>
      <c r="B132" s="288"/>
      <c r="C132" s="288"/>
      <c r="D132" s="288"/>
      <c r="E132" s="288"/>
      <c r="F132" s="288"/>
      <c r="G132" s="288"/>
      <c r="H132" s="288"/>
      <c r="I132" s="288"/>
      <c r="J132" s="288"/>
      <c r="K132" s="289"/>
      <c r="L132" s="289"/>
    </row>
    <row r="133" spans="1:12" x14ac:dyDescent="0.25">
      <c r="B133" s="270"/>
      <c r="C133" s="270"/>
      <c r="D133" s="270"/>
      <c r="E133" s="270"/>
      <c r="F133" s="270"/>
      <c r="G133" s="270"/>
      <c r="H133" s="270"/>
      <c r="I133" s="270"/>
      <c r="J133" s="270"/>
      <c r="K133" s="270"/>
      <c r="L133" s="270"/>
    </row>
    <row r="134" spans="1:12" x14ac:dyDescent="0.25">
      <c r="B134" s="270"/>
      <c r="C134" s="270"/>
      <c r="D134" s="270"/>
      <c r="E134" s="270"/>
      <c r="F134" s="270"/>
      <c r="G134" s="270"/>
      <c r="H134" s="270"/>
      <c r="I134" s="270"/>
      <c r="J134" s="270"/>
      <c r="K134" s="270"/>
      <c r="L134" s="270"/>
    </row>
    <row r="135" spans="1:12" x14ac:dyDescent="0.25">
      <c r="B135" s="270"/>
      <c r="C135" s="270"/>
      <c r="D135" s="270"/>
      <c r="E135" s="270"/>
      <c r="F135" s="270"/>
      <c r="G135" s="270"/>
      <c r="H135" s="270"/>
      <c r="I135" s="270"/>
      <c r="J135" s="270"/>
      <c r="K135" s="270"/>
      <c r="L135" s="270"/>
    </row>
  </sheetData>
  <sheetProtection selectLockedCells="1" selectUnlockedCells="1"/>
  <mergeCells count="141">
    <mergeCell ref="B124:D124"/>
    <mergeCell ref="E124:F124"/>
    <mergeCell ref="G124:H124"/>
    <mergeCell ref="I124:J124"/>
    <mergeCell ref="B125:K125"/>
    <mergeCell ref="B122:L122"/>
    <mergeCell ref="B123:D123"/>
    <mergeCell ref="E123:F123"/>
    <mergeCell ref="G123:H123"/>
    <mergeCell ref="I123:J123"/>
    <mergeCell ref="C92:J92"/>
    <mergeCell ref="B94:L94"/>
    <mergeCell ref="C96:K96"/>
    <mergeCell ref="C97:K97"/>
    <mergeCell ref="B98:B99"/>
    <mergeCell ref="C98:D99"/>
    <mergeCell ref="E98:K98"/>
    <mergeCell ref="E99:K99"/>
    <mergeCell ref="B102:L102"/>
    <mergeCell ref="B93:K93"/>
    <mergeCell ref="B83:J83"/>
    <mergeCell ref="B84:L84"/>
    <mergeCell ref="B85:L85"/>
    <mergeCell ref="C86:J86"/>
    <mergeCell ref="C87:J87"/>
    <mergeCell ref="B89:L89"/>
    <mergeCell ref="B90:L90"/>
    <mergeCell ref="B88:K88"/>
    <mergeCell ref="C91:J91"/>
    <mergeCell ref="C78:E78"/>
    <mergeCell ref="H78:I78"/>
    <mergeCell ref="C79:E79"/>
    <mergeCell ref="H79:I79"/>
    <mergeCell ref="C80:E80"/>
    <mergeCell ref="H80:I80"/>
    <mergeCell ref="C81:E81"/>
    <mergeCell ref="H81:I81"/>
    <mergeCell ref="C82:J82"/>
    <mergeCell ref="B73:L73"/>
    <mergeCell ref="B74:L74"/>
    <mergeCell ref="C75:J75"/>
    <mergeCell ref="C76:E76"/>
    <mergeCell ref="H76:I76"/>
    <mergeCell ref="C70:K70"/>
    <mergeCell ref="C69:K69"/>
    <mergeCell ref="B71:K71"/>
    <mergeCell ref="C77:E77"/>
    <mergeCell ref="H77:I77"/>
    <mergeCell ref="C62:K62"/>
    <mergeCell ref="B64:L64"/>
    <mergeCell ref="B65:L65"/>
    <mergeCell ref="G66:H66"/>
    <mergeCell ref="I66:J66"/>
    <mergeCell ref="B63:K63"/>
    <mergeCell ref="C67:K67"/>
    <mergeCell ref="C68:K68"/>
    <mergeCell ref="B72:L72"/>
    <mergeCell ref="C53:K53"/>
    <mergeCell ref="C54:K54"/>
    <mergeCell ref="C55:K55"/>
    <mergeCell ref="C56:K56"/>
    <mergeCell ref="B58:L58"/>
    <mergeCell ref="B59:L59"/>
    <mergeCell ref="C60:J60"/>
    <mergeCell ref="C61:J61"/>
    <mergeCell ref="B57:K57"/>
    <mergeCell ref="C43:F43"/>
    <mergeCell ref="I43:J43"/>
    <mergeCell ref="B46:L46"/>
    <mergeCell ref="B47:L47"/>
    <mergeCell ref="C48:K48"/>
    <mergeCell ref="C49:K49"/>
    <mergeCell ref="C50:K50"/>
    <mergeCell ref="C51:K51"/>
    <mergeCell ref="C52:K52"/>
    <mergeCell ref="B45:J45"/>
    <mergeCell ref="C44:J44"/>
    <mergeCell ref="B35:L35"/>
    <mergeCell ref="C37:J37"/>
    <mergeCell ref="C38:J38"/>
    <mergeCell ref="C39:J39"/>
    <mergeCell ref="C40:J40"/>
    <mergeCell ref="C41:J41"/>
    <mergeCell ref="C42:J42"/>
    <mergeCell ref="B33:J33"/>
    <mergeCell ref="B36:K36"/>
    <mergeCell ref="C25:K25"/>
    <mergeCell ref="C26:K26"/>
    <mergeCell ref="B28:L28"/>
    <mergeCell ref="B29:L29"/>
    <mergeCell ref="B30:L30"/>
    <mergeCell ref="C31:J31"/>
    <mergeCell ref="C32:J32"/>
    <mergeCell ref="B27:K27"/>
    <mergeCell ref="B34:L34"/>
    <mergeCell ref="C7:F7"/>
    <mergeCell ref="G7:L7"/>
    <mergeCell ref="B13:L13"/>
    <mergeCell ref="C17:K17"/>
    <mergeCell ref="C23:K23"/>
    <mergeCell ref="C24:K24"/>
    <mergeCell ref="G8:L8"/>
    <mergeCell ref="G10:L10"/>
    <mergeCell ref="J11:L11"/>
    <mergeCell ref="C22:D22"/>
    <mergeCell ref="B19:L19"/>
    <mergeCell ref="B1:J1"/>
    <mergeCell ref="K1:L5"/>
    <mergeCell ref="B2:D2"/>
    <mergeCell ref="E2:J2"/>
    <mergeCell ref="B3:D3"/>
    <mergeCell ref="E3:J3"/>
    <mergeCell ref="B4:D4"/>
    <mergeCell ref="E4:F4"/>
    <mergeCell ref="I4:J4"/>
    <mergeCell ref="B5:D5"/>
    <mergeCell ref="E5:J5"/>
    <mergeCell ref="C115:F116"/>
    <mergeCell ref="C117:F117"/>
    <mergeCell ref="G115:I115"/>
    <mergeCell ref="G116:I116"/>
    <mergeCell ref="G117:I117"/>
    <mergeCell ref="B118:K118"/>
    <mergeCell ref="B120:K120"/>
    <mergeCell ref="B95:L95"/>
    <mergeCell ref="B100:K100"/>
    <mergeCell ref="C106:K106"/>
    <mergeCell ref="C107:K107"/>
    <mergeCell ref="C108:K108"/>
    <mergeCell ref="B111:L111"/>
    <mergeCell ref="C112:J112"/>
    <mergeCell ref="C113:J113"/>
    <mergeCell ref="C114:I114"/>
    <mergeCell ref="B103:K103"/>
    <mergeCell ref="C104:K104"/>
    <mergeCell ref="C105:K105"/>
    <mergeCell ref="B109:K109"/>
    <mergeCell ref="B110:L110"/>
    <mergeCell ref="B114:B117"/>
    <mergeCell ref="K114:K117"/>
    <mergeCell ref="L114:L117"/>
  </mergeCells>
  <printOptions horizontalCentered="1"/>
  <pageMargins left="0.47222222222222221" right="0.47222222222222221" top="0.39374999999999999" bottom="0.39374999999999999" header="0.51180555555555551" footer="0.51180555555555551"/>
  <pageSetup paperSize="9" scale="60"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2"/>
  <sheetViews>
    <sheetView topLeftCell="A12" workbookViewId="0">
      <selection activeCell="F24" sqref="F24"/>
    </sheetView>
  </sheetViews>
  <sheetFormatPr defaultColWidth="12.88671875" defaultRowHeight="15.6" x14ac:dyDescent="0.3"/>
  <cols>
    <col min="1" max="1" width="14.5546875" style="110" customWidth="1"/>
    <col min="2" max="2" width="13.6640625" style="110" customWidth="1"/>
    <col min="3" max="8" width="12.88671875" style="110" customWidth="1"/>
    <col min="9" max="9" width="15.44140625" style="110" customWidth="1"/>
    <col min="10" max="16384" width="12.88671875" style="110"/>
  </cols>
  <sheetData>
    <row r="1" spans="1:9" ht="31.5" customHeight="1" x14ac:dyDescent="0.3">
      <c r="A1" s="872" t="s">
        <v>286</v>
      </c>
      <c r="B1" s="872"/>
      <c r="C1" s="872"/>
      <c r="D1" s="872"/>
      <c r="E1" s="872"/>
      <c r="F1" s="872"/>
      <c r="G1" s="872"/>
      <c r="H1" s="872"/>
      <c r="I1" s="111" t="s">
        <v>232</v>
      </c>
    </row>
    <row r="2" spans="1:9" ht="31.5" customHeight="1" x14ac:dyDescent="0.3">
      <c r="A2" s="873" t="s">
        <v>233</v>
      </c>
      <c r="B2" s="873"/>
      <c r="C2" s="873"/>
      <c r="D2" s="873"/>
      <c r="E2" s="873"/>
      <c r="F2" s="873"/>
      <c r="G2" s="873"/>
      <c r="H2" s="873"/>
      <c r="I2" s="112">
        <f>'DADOS INICIAIS'!I19</f>
        <v>1997.04</v>
      </c>
    </row>
    <row r="3" spans="1:9" ht="31.5" customHeight="1" x14ac:dyDescent="0.3">
      <c r="A3" s="874"/>
      <c r="B3" s="874"/>
      <c r="C3" s="874"/>
      <c r="D3" s="874"/>
      <c r="E3" s="874"/>
      <c r="F3" s="874"/>
      <c r="G3" s="874"/>
      <c r="H3" s="874"/>
      <c r="I3" s="874"/>
    </row>
    <row r="4" spans="1:9" ht="31.5" customHeight="1" x14ac:dyDescent="0.3">
      <c r="A4" s="872" t="s">
        <v>234</v>
      </c>
      <c r="B4" s="872"/>
      <c r="C4" s="872"/>
      <c r="D4" s="872"/>
      <c r="E4" s="872"/>
      <c r="F4" s="872"/>
      <c r="G4" s="872"/>
      <c r="H4" s="872"/>
      <c r="I4" s="872"/>
    </row>
    <row r="5" spans="1:9" ht="31.5" customHeight="1" x14ac:dyDescent="0.3">
      <c r="A5" s="874"/>
      <c r="B5" s="874"/>
      <c r="C5" s="874"/>
      <c r="D5" s="874"/>
      <c r="E5" s="874"/>
      <c r="F5" s="874"/>
      <c r="G5" s="874"/>
      <c r="H5" s="874"/>
      <c r="I5" s="874"/>
    </row>
    <row r="6" spans="1:9" ht="31.5" customHeight="1" x14ac:dyDescent="0.3">
      <c r="A6" s="875" t="s">
        <v>235</v>
      </c>
      <c r="B6" s="113" t="s">
        <v>236</v>
      </c>
      <c r="C6" s="114" t="s">
        <v>237</v>
      </c>
      <c r="D6" s="876" t="s">
        <v>238</v>
      </c>
      <c r="E6" s="876"/>
      <c r="F6" s="876" t="s">
        <v>239</v>
      </c>
      <c r="G6" s="876"/>
      <c r="H6" s="876"/>
      <c r="I6" s="115" t="s">
        <v>240</v>
      </c>
    </row>
    <row r="7" spans="1:9" ht="31.5" customHeight="1" x14ac:dyDescent="0.3">
      <c r="A7" s="875"/>
      <c r="B7" s="116">
        <v>1</v>
      </c>
      <c r="C7" s="117">
        <v>21.725999999999999</v>
      </c>
      <c r="D7" s="877">
        <f>'DADOS INICIAIS'!F32</f>
        <v>28.83</v>
      </c>
      <c r="E7" s="877"/>
      <c r="F7" s="878">
        <f>'DADOS INICIAIS'!F33</f>
        <v>31.318028999999996</v>
      </c>
      <c r="G7" s="878"/>
      <c r="H7" s="878"/>
      <c r="I7" s="120">
        <f>(C7*D7)-F7</f>
        <v>595.04255099999989</v>
      </c>
    </row>
    <row r="8" spans="1:9" ht="31.5" customHeight="1" x14ac:dyDescent="0.3">
      <c r="A8" s="874"/>
      <c r="B8" s="874"/>
      <c r="C8" s="874"/>
      <c r="D8" s="874"/>
      <c r="E8" s="874"/>
      <c r="F8" s="874"/>
      <c r="G8" s="874"/>
      <c r="H8" s="874"/>
      <c r="I8" s="874"/>
    </row>
    <row r="9" spans="1:9" ht="31.5" customHeight="1" x14ac:dyDescent="0.3">
      <c r="A9" s="879" t="s">
        <v>241</v>
      </c>
      <c r="B9" s="879"/>
      <c r="C9" s="879"/>
      <c r="D9" s="879"/>
      <c r="E9" s="879"/>
      <c r="F9" s="880" t="s">
        <v>242</v>
      </c>
      <c r="G9" s="880"/>
      <c r="H9" s="881" t="s">
        <v>243</v>
      </c>
      <c r="I9" s="881"/>
    </row>
    <row r="10" spans="1:9" ht="31.5" customHeight="1" x14ac:dyDescent="0.3">
      <c r="A10" s="879"/>
      <c r="B10" s="879"/>
      <c r="C10" s="879"/>
      <c r="D10" s="879"/>
      <c r="E10" s="879"/>
      <c r="F10" s="882">
        <f>'DADOS INICIAIS'!F38</f>
        <v>409.4</v>
      </c>
      <c r="G10" s="882"/>
      <c r="H10" s="883">
        <f>'DADOS INICIAIS'!H37</f>
        <v>388.92999999999995</v>
      </c>
      <c r="I10" s="883"/>
    </row>
    <row r="11" spans="1:9" ht="31.5" customHeight="1" x14ac:dyDescent="0.3">
      <c r="A11" s="884"/>
      <c r="B11" s="884"/>
      <c r="C11" s="884"/>
      <c r="D11" s="884"/>
      <c r="E11" s="884"/>
      <c r="F11" s="884"/>
      <c r="G11" s="884"/>
      <c r="H11" s="884"/>
      <c r="I11" s="884"/>
    </row>
    <row r="12" spans="1:9" ht="31.5" customHeight="1" x14ac:dyDescent="0.3">
      <c r="A12" s="885" t="s">
        <v>244</v>
      </c>
      <c r="B12" s="885"/>
      <c r="C12" s="885"/>
      <c r="D12" s="114" t="s">
        <v>245</v>
      </c>
      <c r="E12" s="114" t="s">
        <v>237</v>
      </c>
      <c r="F12" s="121" t="s">
        <v>246</v>
      </c>
      <c r="G12" s="114" t="s">
        <v>247</v>
      </c>
      <c r="H12" s="113" t="s">
        <v>239</v>
      </c>
      <c r="I12" s="886">
        <f>G13-H13</f>
        <v>119.1636</v>
      </c>
    </row>
    <row r="13" spans="1:9" ht="31.5" customHeight="1" x14ac:dyDescent="0.3">
      <c r="A13" s="885"/>
      <c r="B13" s="885"/>
      <c r="C13" s="885"/>
      <c r="D13" s="122">
        <f>'DADOS INICIAIS'!H25</f>
        <v>2</v>
      </c>
      <c r="E13" s="117">
        <v>21.725999999999999</v>
      </c>
      <c r="F13" s="118">
        <f>'DADOS INICIAIS'!F26</f>
        <v>5.5</v>
      </c>
      <c r="G13" s="118">
        <f>D13*E13*F13</f>
        <v>238.98599999999999</v>
      </c>
      <c r="H13" s="118">
        <f>'DADOS INICIAIS'!I27</f>
        <v>119.82239999999999</v>
      </c>
      <c r="I13" s="886"/>
    </row>
    <row r="14" spans="1:9" ht="31.5" customHeight="1" x14ac:dyDescent="0.3">
      <c r="A14" s="874"/>
      <c r="B14" s="874"/>
      <c r="C14" s="874"/>
      <c r="D14" s="874"/>
      <c r="E14" s="874"/>
      <c r="F14" s="874"/>
      <c r="G14" s="874"/>
      <c r="H14" s="874"/>
      <c r="I14" s="874"/>
    </row>
    <row r="15" spans="1:9" ht="46.5" customHeight="1" x14ac:dyDescent="0.3">
      <c r="A15" s="887" t="s">
        <v>248</v>
      </c>
      <c r="B15" s="887"/>
      <c r="C15" s="887"/>
      <c r="D15" s="887"/>
      <c r="E15" s="123" t="s">
        <v>249</v>
      </c>
      <c r="F15" s="123" t="s">
        <v>250</v>
      </c>
      <c r="G15" s="123" t="s">
        <v>251</v>
      </c>
      <c r="H15" s="124" t="s">
        <v>252</v>
      </c>
      <c r="I15" s="125" t="s">
        <v>253</v>
      </c>
    </row>
    <row r="16" spans="1:9" ht="31.5" customHeight="1" x14ac:dyDescent="0.3">
      <c r="A16" s="887"/>
      <c r="B16" s="887"/>
      <c r="C16" s="887"/>
      <c r="D16" s="887"/>
      <c r="E16" s="118">
        <f>'DADOS INICIAIS'!D8</f>
        <v>1320</v>
      </c>
      <c r="F16" s="118">
        <f>'DADOS INICIAIS'!I40</f>
        <v>0</v>
      </c>
      <c r="G16" s="126">
        <v>1</v>
      </c>
      <c r="H16" s="127">
        <v>1</v>
      </c>
      <c r="I16" s="128">
        <f>ROUND(F16*G16*H16,2)</f>
        <v>0</v>
      </c>
    </row>
    <row r="17" spans="1:9" ht="31.5" customHeight="1" x14ac:dyDescent="0.3">
      <c r="A17" s="874"/>
      <c r="B17" s="874"/>
      <c r="C17" s="874"/>
      <c r="D17" s="874"/>
      <c r="E17" s="874"/>
      <c r="F17" s="874"/>
      <c r="G17" s="874"/>
      <c r="H17" s="874"/>
      <c r="I17" s="874"/>
    </row>
    <row r="18" spans="1:9" ht="40.5" customHeight="1" x14ac:dyDescent="0.3">
      <c r="A18" s="887" t="s">
        <v>254</v>
      </c>
      <c r="B18" s="887"/>
      <c r="C18" s="887"/>
      <c r="D18" s="113" t="s">
        <v>255</v>
      </c>
      <c r="E18" s="119">
        <f>'DADOS INICIAIS'!F29</f>
        <v>9.48</v>
      </c>
      <c r="F18" s="114" t="s">
        <v>256</v>
      </c>
      <c r="G18" s="118">
        <f>'DADOS INICIAIS'!F30</f>
        <v>0</v>
      </c>
      <c r="H18" s="121" t="s">
        <v>257</v>
      </c>
      <c r="I18" s="120">
        <f>E18-G18</f>
        <v>9.48</v>
      </c>
    </row>
    <row r="19" spans="1:9" ht="31.5" customHeight="1" x14ac:dyDescent="0.3">
      <c r="A19" s="874"/>
      <c r="B19" s="874"/>
      <c r="C19" s="874"/>
      <c r="D19" s="874"/>
      <c r="E19" s="874"/>
      <c r="F19" s="874"/>
      <c r="G19" s="874"/>
      <c r="H19" s="874"/>
      <c r="I19" s="874"/>
    </row>
    <row r="20" spans="1:9" ht="31.5" customHeight="1" x14ac:dyDescent="0.3">
      <c r="A20" s="888" t="str">
        <f>'DADOS INICIAIS'!C46</f>
        <v>especificar</v>
      </c>
      <c r="B20" s="888"/>
      <c r="C20" s="888"/>
      <c r="D20" s="888"/>
      <c r="E20" s="888"/>
      <c r="F20" s="880" t="s">
        <v>250</v>
      </c>
      <c r="G20" s="880"/>
      <c r="H20" s="880" t="s">
        <v>258</v>
      </c>
      <c r="I20" s="880"/>
    </row>
    <row r="21" spans="1:9" ht="31.5" customHeight="1" x14ac:dyDescent="0.3">
      <c r="A21" s="888"/>
      <c r="B21" s="888"/>
      <c r="C21" s="888"/>
      <c r="D21" s="888"/>
      <c r="E21" s="888"/>
      <c r="F21" s="889">
        <f>'DADOS INICIAIS'!I46</f>
        <v>0</v>
      </c>
      <c r="G21" s="889"/>
      <c r="H21" s="889">
        <f>F21</f>
        <v>0</v>
      </c>
      <c r="I21" s="889"/>
    </row>
    <row r="22" spans="1:9" ht="31.5" customHeight="1" x14ac:dyDescent="0.3">
      <c r="A22" s="890"/>
      <c r="B22" s="890"/>
      <c r="C22" s="890"/>
      <c r="D22" s="890"/>
      <c r="E22" s="890"/>
      <c r="F22" s="890"/>
      <c r="G22" s="890"/>
      <c r="H22" s="890"/>
      <c r="I22" s="890"/>
    </row>
    <row r="23" spans="1:9" ht="31.5" customHeight="1" x14ac:dyDescent="0.3">
      <c r="A23" s="888" t="str">
        <f>'DADOS INICIAIS'!C49</f>
        <v>especificar</v>
      </c>
      <c r="B23" s="888"/>
      <c r="C23" s="888"/>
      <c r="D23" s="888"/>
      <c r="E23" s="888"/>
      <c r="F23" s="880" t="s">
        <v>45</v>
      </c>
      <c r="G23" s="880"/>
      <c r="H23" s="880" t="s">
        <v>258</v>
      </c>
      <c r="I23" s="880"/>
    </row>
    <row r="24" spans="1:9" ht="31.5" customHeight="1" x14ac:dyDescent="0.3">
      <c r="A24" s="888"/>
      <c r="B24" s="888"/>
      <c r="C24" s="888"/>
      <c r="D24" s="888"/>
      <c r="E24" s="888"/>
      <c r="F24" s="889">
        <f>'DADOS INICIAIS'!I49</f>
        <v>0</v>
      </c>
      <c r="G24" s="889"/>
      <c r="H24" s="889">
        <f>F24</f>
        <v>0</v>
      </c>
      <c r="I24" s="889"/>
    </row>
    <row r="25" spans="1:9" ht="31.5" customHeight="1" x14ac:dyDescent="0.3">
      <c r="A25" s="891"/>
      <c r="B25" s="891"/>
      <c r="C25" s="891"/>
      <c r="D25" s="891"/>
      <c r="E25" s="891"/>
      <c r="F25" s="891"/>
      <c r="G25" s="891"/>
      <c r="H25" s="891"/>
      <c r="I25" s="891"/>
    </row>
    <row r="26" spans="1:9" ht="31.5" customHeight="1" x14ac:dyDescent="0.3">
      <c r="A26" s="879" t="s">
        <v>259</v>
      </c>
      <c r="B26" s="879"/>
      <c r="C26" s="879"/>
      <c r="D26" s="879"/>
      <c r="E26" s="879"/>
      <c r="F26" s="879"/>
      <c r="G26" s="879"/>
      <c r="H26" s="879"/>
      <c r="I26" s="879"/>
    </row>
    <row r="27" spans="1:9" ht="31.5" customHeight="1" x14ac:dyDescent="0.3">
      <c r="A27" s="892" t="s">
        <v>40</v>
      </c>
      <c r="B27" s="892"/>
      <c r="C27" s="892"/>
      <c r="D27" s="892"/>
      <c r="E27" s="129" t="s">
        <v>41</v>
      </c>
      <c r="F27" s="129" t="s">
        <v>260</v>
      </c>
      <c r="G27" s="130" t="s">
        <v>44</v>
      </c>
      <c r="H27" s="131" t="s">
        <v>261</v>
      </c>
      <c r="I27" s="132"/>
    </row>
    <row r="28" spans="1:9" ht="18.45" customHeight="1" x14ac:dyDescent="0.3">
      <c r="A28" s="893" t="s">
        <v>262</v>
      </c>
      <c r="B28" s="893"/>
      <c r="C28" s="893"/>
      <c r="D28" s="893"/>
      <c r="E28" s="133">
        <f>'DADOS INICIAIS'!E55</f>
        <v>21.1</v>
      </c>
      <c r="F28" s="4">
        <v>12</v>
      </c>
      <c r="G28" s="134">
        <f>'DADOS INICIAIS'!I55</f>
        <v>6</v>
      </c>
      <c r="H28" s="135">
        <f t="shared" ref="H28:H41" si="0">ROUND(E28*G28/F28,2)</f>
        <v>10.55</v>
      </c>
      <c r="I28" s="136"/>
    </row>
    <row r="29" spans="1:9" ht="18.45" customHeight="1" x14ac:dyDescent="0.3">
      <c r="A29" s="893" t="s">
        <v>263</v>
      </c>
      <c r="B29" s="893"/>
      <c r="C29" s="893"/>
      <c r="D29" s="893"/>
      <c r="E29" s="133">
        <f>'DADOS INICIAIS'!E57</f>
        <v>39</v>
      </c>
      <c r="F29" s="4">
        <v>12</v>
      </c>
      <c r="G29" s="134">
        <f>'DADOS INICIAIS'!I57</f>
        <v>2</v>
      </c>
      <c r="H29" s="135">
        <f t="shared" si="0"/>
        <v>6.5</v>
      </c>
      <c r="I29" s="136"/>
    </row>
    <row r="30" spans="1:9" ht="18.45" customHeight="1" x14ac:dyDescent="0.3">
      <c r="A30" s="893" t="s">
        <v>46</v>
      </c>
      <c r="B30" s="893"/>
      <c r="C30" s="893"/>
      <c r="D30" s="893"/>
      <c r="E30" s="133">
        <f>'DADOS INICIAIS'!E59</f>
        <v>172.07</v>
      </c>
      <c r="F30" s="4">
        <v>60</v>
      </c>
      <c r="G30" s="134">
        <f>'DADOS INICIAIS'!I59</f>
        <v>1</v>
      </c>
      <c r="H30" s="135">
        <f t="shared" si="0"/>
        <v>2.87</v>
      </c>
      <c r="I30" s="136"/>
    </row>
    <row r="31" spans="1:9" ht="18.45" customHeight="1" x14ac:dyDescent="0.3">
      <c r="A31" s="893" t="s">
        <v>47</v>
      </c>
      <c r="B31" s="893"/>
      <c r="C31" s="893"/>
      <c r="D31" s="893"/>
      <c r="E31" s="133">
        <f>'DADOS INICIAIS'!E61</f>
        <v>22.38</v>
      </c>
      <c r="F31" s="4">
        <v>12</v>
      </c>
      <c r="G31" s="134">
        <f>'DADOS INICIAIS'!I61</f>
        <v>1</v>
      </c>
      <c r="H31" s="135">
        <f t="shared" si="0"/>
        <v>1.87</v>
      </c>
      <c r="I31" s="136"/>
    </row>
    <row r="32" spans="1:9" ht="18.45" customHeight="1" x14ac:dyDescent="0.3">
      <c r="A32" s="893" t="s">
        <v>48</v>
      </c>
      <c r="B32" s="893"/>
      <c r="C32" s="893"/>
      <c r="D32" s="893"/>
      <c r="E32" s="133">
        <f>'DADOS INICIAIS'!E65</f>
        <v>17.670000000000002</v>
      </c>
      <c r="F32" s="4">
        <v>60</v>
      </c>
      <c r="G32" s="134">
        <f>'DADOS INICIAIS'!I65</f>
        <v>1</v>
      </c>
      <c r="H32" s="135">
        <f t="shared" si="0"/>
        <v>0.28999999999999998</v>
      </c>
      <c r="I32" s="136"/>
    </row>
    <row r="33" spans="1:9" ht="18.45" customHeight="1" x14ac:dyDescent="0.3">
      <c r="A33" s="897" t="s">
        <v>49</v>
      </c>
      <c r="B33" s="897"/>
      <c r="C33" s="897"/>
      <c r="D33" s="897"/>
      <c r="E33" s="133">
        <f>'DADOS INICIAIS'!E67</f>
        <v>118.66</v>
      </c>
      <c r="F33" s="4">
        <v>60</v>
      </c>
      <c r="G33" s="134">
        <f>'DADOS INICIAIS'!I67</f>
        <v>1</v>
      </c>
      <c r="H33" s="135">
        <f t="shared" si="0"/>
        <v>1.98</v>
      </c>
      <c r="I33" s="136"/>
    </row>
    <row r="34" spans="1:9" ht="18.45" customHeight="1" x14ac:dyDescent="0.3">
      <c r="A34" s="893" t="s">
        <v>50</v>
      </c>
      <c r="B34" s="893"/>
      <c r="C34" s="893"/>
      <c r="D34" s="893"/>
      <c r="E34" s="133">
        <f>'DADOS INICIAIS'!E69</f>
        <v>7.95</v>
      </c>
      <c r="F34" s="4">
        <v>12</v>
      </c>
      <c r="G34" s="134">
        <f>'DADOS INICIAIS'!I69</f>
        <v>1</v>
      </c>
      <c r="H34" s="135">
        <f t="shared" si="0"/>
        <v>0.66</v>
      </c>
    </row>
    <row r="35" spans="1:9" ht="18.45" customHeight="1" x14ac:dyDescent="0.3">
      <c r="A35" s="897" t="s">
        <v>51</v>
      </c>
      <c r="B35" s="897"/>
      <c r="C35" s="897"/>
      <c r="D35" s="897"/>
      <c r="E35" s="133">
        <f>'DADOS INICIAIS'!E71</f>
        <v>55.93</v>
      </c>
      <c r="F35" s="4">
        <v>12</v>
      </c>
      <c r="G35" s="134">
        <f>'DADOS INICIAIS'!I71</f>
        <v>5</v>
      </c>
      <c r="H35" s="135">
        <f t="shared" si="0"/>
        <v>23.3</v>
      </c>
    </row>
    <row r="36" spans="1:9" ht="18.45" customHeight="1" x14ac:dyDescent="0.3">
      <c r="A36" s="897" t="s">
        <v>52</v>
      </c>
      <c r="B36" s="897"/>
      <c r="C36" s="897"/>
      <c r="D36" s="897"/>
      <c r="E36" s="133">
        <f>'DADOS INICIAIS'!E73</f>
        <v>14.4</v>
      </c>
      <c r="F36" s="4">
        <v>12</v>
      </c>
      <c r="G36" s="134">
        <f>'DADOS INICIAIS'!I73</f>
        <v>5</v>
      </c>
      <c r="H36" s="135">
        <f t="shared" si="0"/>
        <v>6</v>
      </c>
    </row>
    <row r="37" spans="1:9" ht="18.45" customHeight="1" x14ac:dyDescent="0.3">
      <c r="A37" s="893" t="s">
        <v>53</v>
      </c>
      <c r="B37" s="893"/>
      <c r="C37" s="893"/>
      <c r="D37" s="893"/>
      <c r="E37" s="133">
        <f>'DADOS INICIAIS'!E75</f>
        <v>86.99</v>
      </c>
      <c r="F37" s="4">
        <v>12</v>
      </c>
      <c r="G37" s="134">
        <f>'DADOS INICIAIS'!I75</f>
        <v>1</v>
      </c>
      <c r="H37" s="135">
        <f t="shared" si="0"/>
        <v>7.25</v>
      </c>
    </row>
    <row r="38" spans="1:9" ht="18.45" customHeight="1" x14ac:dyDescent="0.3">
      <c r="A38" s="893" t="s">
        <v>54</v>
      </c>
      <c r="B38" s="893"/>
      <c r="C38" s="893"/>
      <c r="D38" s="893"/>
      <c r="E38" s="133">
        <f>'DADOS INICIAIS'!E77</f>
        <v>75.72</v>
      </c>
      <c r="F38" s="4">
        <v>12</v>
      </c>
      <c r="G38" s="134">
        <f>'DADOS INICIAIS'!I77</f>
        <v>1</v>
      </c>
      <c r="H38" s="135">
        <f t="shared" si="0"/>
        <v>6.31</v>
      </c>
    </row>
    <row r="39" spans="1:9" ht="18.45" customHeight="1" x14ac:dyDescent="0.3">
      <c r="A39" s="893" t="s">
        <v>264</v>
      </c>
      <c r="B39" s="893"/>
      <c r="C39" s="893"/>
      <c r="D39" s="893"/>
      <c r="E39" s="133">
        <f>'DADOS INICIAIS'!E79</f>
        <v>31.33</v>
      </c>
      <c r="F39" s="5">
        <v>60</v>
      </c>
      <c r="G39" s="134">
        <f>'DADOS INICIAIS'!I79</f>
        <v>1</v>
      </c>
      <c r="H39" s="135">
        <f t="shared" si="0"/>
        <v>0.52</v>
      </c>
    </row>
    <row r="40" spans="1:9" ht="18.45" customHeight="1" x14ac:dyDescent="0.3">
      <c r="A40" s="893" t="s">
        <v>56</v>
      </c>
      <c r="B40" s="893"/>
      <c r="C40" s="893"/>
      <c r="D40" s="893"/>
      <c r="E40" s="133">
        <f>'DADOS INICIAIS'!E81</f>
        <v>43.98</v>
      </c>
      <c r="F40" s="5">
        <v>12</v>
      </c>
      <c r="G40" s="134">
        <f>'DADOS INICIAIS'!I81</f>
        <v>1</v>
      </c>
      <c r="H40" s="135">
        <f t="shared" si="0"/>
        <v>3.67</v>
      </c>
    </row>
    <row r="41" spans="1:9" ht="18.45" customHeight="1" x14ac:dyDescent="0.3">
      <c r="A41" s="897" t="s">
        <v>57</v>
      </c>
      <c r="B41" s="897"/>
      <c r="C41" s="897"/>
      <c r="D41" s="897"/>
      <c r="E41" s="133">
        <f>'DADOS INICIAIS'!E83</f>
        <v>9.67</v>
      </c>
      <c r="F41" s="4">
        <v>60</v>
      </c>
      <c r="G41" s="134">
        <f>'DADOS INICIAIS'!I83</f>
        <v>1</v>
      </c>
      <c r="H41" s="135">
        <f t="shared" si="0"/>
        <v>0.16</v>
      </c>
    </row>
    <row r="42" spans="1:9" x14ac:dyDescent="0.3">
      <c r="F42" s="898" t="s">
        <v>265</v>
      </c>
      <c r="G42" s="898"/>
      <c r="H42" s="138">
        <f>SUM(H28:H41)</f>
        <v>71.929999999999993</v>
      </c>
    </row>
  </sheetData>
  <sheetProtection selectLockedCells="1" selectUnlockedCells="1"/>
  <mergeCells count="53">
    <mergeCell ref="A40:D40"/>
    <mergeCell ref="A41:D41"/>
    <mergeCell ref="F42:G42"/>
    <mergeCell ref="A35:D35"/>
    <mergeCell ref="A36:D36"/>
    <mergeCell ref="A37:D37"/>
    <mergeCell ref="A38:D38"/>
    <mergeCell ref="A39:D39"/>
    <mergeCell ref="A30:D30"/>
    <mergeCell ref="A31:D31"/>
    <mergeCell ref="A32:D32"/>
    <mergeCell ref="A33:D33"/>
    <mergeCell ref="A34:D34"/>
    <mergeCell ref="A25:I25"/>
    <mergeCell ref="A26:I26"/>
    <mergeCell ref="A27:D27"/>
    <mergeCell ref="A28:D28"/>
    <mergeCell ref="A29:D29"/>
    <mergeCell ref="A22:I22"/>
    <mergeCell ref="A23:E24"/>
    <mergeCell ref="F23:G23"/>
    <mergeCell ref="H23:I23"/>
    <mergeCell ref="F24:G24"/>
    <mergeCell ref="H24:I24"/>
    <mergeCell ref="A17:I17"/>
    <mergeCell ref="A18:C18"/>
    <mergeCell ref="A19:I19"/>
    <mergeCell ref="A20:E21"/>
    <mergeCell ref="F20:G20"/>
    <mergeCell ref="H20:I20"/>
    <mergeCell ref="F21:G21"/>
    <mergeCell ref="H21:I21"/>
    <mergeCell ref="A11:I11"/>
    <mergeCell ref="A12:C13"/>
    <mergeCell ref="I12:I13"/>
    <mergeCell ref="A14:I14"/>
    <mergeCell ref="A15:D16"/>
    <mergeCell ref="A8:I8"/>
    <mergeCell ref="A9:E10"/>
    <mergeCell ref="F9:G9"/>
    <mergeCell ref="H9:I9"/>
    <mergeCell ref="F10:G10"/>
    <mergeCell ref="H10:I10"/>
    <mergeCell ref="A6:A7"/>
    <mergeCell ref="D6:E6"/>
    <mergeCell ref="F6:H6"/>
    <mergeCell ref="D7:E7"/>
    <mergeCell ref="F7:H7"/>
    <mergeCell ref="A1:H1"/>
    <mergeCell ref="A2:H2"/>
    <mergeCell ref="A3:I3"/>
    <mergeCell ref="A4:I4"/>
    <mergeCell ref="A5:I5"/>
  </mergeCells>
  <pageMargins left="0.78749999999999998" right="0.78749999999999998" top="1.0249999999999999" bottom="1.0249999999999999" header="0.78749999999999998" footer="0.78749999999999998"/>
  <pageSetup paperSize="9" firstPageNumber="0" orientation="portrait" horizontalDpi="300" verticalDpi="300"/>
  <headerFooter alignWithMargins="0">
    <oddHeader>&amp;C&amp;A</oddHeader>
    <oddFooter>&amp;CPágina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30"/>
  <sheetViews>
    <sheetView topLeftCell="B111" workbookViewId="0">
      <selection activeCell="M123" sqref="M123"/>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899" t="s">
        <v>106</v>
      </c>
      <c r="C1" s="899"/>
      <c r="D1" s="899"/>
      <c r="E1" s="899"/>
      <c r="F1" s="899"/>
      <c r="G1" s="899"/>
      <c r="H1" s="899"/>
      <c r="I1" s="899"/>
      <c r="J1" s="899"/>
      <c r="K1" s="900"/>
      <c r="L1" s="900"/>
    </row>
    <row r="2" spans="1:12" ht="21.75" customHeight="1" x14ac:dyDescent="0.25">
      <c r="A2" s="20"/>
      <c r="B2" s="901" t="s">
        <v>2</v>
      </c>
      <c r="C2" s="901"/>
      <c r="D2" s="901"/>
      <c r="E2" s="902" t="str">
        <f>'DADOS INICIAIS'!D2</f>
        <v>16034.720017/2023-24</v>
      </c>
      <c r="F2" s="902"/>
      <c r="G2" s="902"/>
      <c r="H2" s="902"/>
      <c r="I2" s="902"/>
      <c r="J2" s="902"/>
      <c r="K2" s="900"/>
      <c r="L2" s="900"/>
    </row>
    <row r="3" spans="1:12" ht="21.75" customHeight="1" x14ac:dyDescent="0.25">
      <c r="A3" s="20"/>
      <c r="B3" s="901" t="s">
        <v>3</v>
      </c>
      <c r="C3" s="901"/>
      <c r="D3" s="901"/>
      <c r="E3" s="903" t="str">
        <f>'DADOS INICIAIS'!D3</f>
        <v>Pregão DRF/JUN nº 10/2023</v>
      </c>
      <c r="F3" s="903"/>
      <c r="G3" s="903"/>
      <c r="H3" s="903"/>
      <c r="I3" s="903"/>
      <c r="J3" s="903"/>
      <c r="K3" s="900"/>
      <c r="L3" s="900"/>
    </row>
    <row r="4" spans="1:12" ht="21.75" customHeight="1" x14ac:dyDescent="0.25">
      <c r="A4" s="20"/>
      <c r="B4" s="901" t="s">
        <v>4</v>
      </c>
      <c r="C4" s="901"/>
      <c r="D4" s="901"/>
      <c r="E4" s="904" t="str">
        <f>'DADOS INICIAIS'!D4</f>
        <v>XX/XX/2023</v>
      </c>
      <c r="F4" s="904"/>
      <c r="G4" s="23"/>
      <c r="H4" s="24" t="s">
        <v>5</v>
      </c>
      <c r="I4" s="905">
        <f>'DADOS INICIAIS'!H4</f>
        <v>0.375</v>
      </c>
      <c r="J4" s="905"/>
      <c r="K4" s="900"/>
      <c r="L4" s="900"/>
    </row>
    <row r="5" spans="1:12" ht="21.75" customHeight="1" x14ac:dyDescent="0.25">
      <c r="A5" s="20"/>
      <c r="B5" s="25"/>
      <c r="C5" s="26"/>
      <c r="D5" s="26"/>
      <c r="E5" s="26"/>
      <c r="F5" s="26"/>
      <c r="G5" s="26"/>
      <c r="H5" s="26"/>
      <c r="I5" s="26"/>
      <c r="J5" s="26"/>
      <c r="K5" s="900"/>
      <c r="L5" s="900"/>
    </row>
    <row r="6" spans="1:12" ht="21.75" customHeight="1" x14ac:dyDescent="0.25">
      <c r="A6" s="20"/>
      <c r="B6" s="901" t="s">
        <v>107</v>
      </c>
      <c r="C6" s="901"/>
      <c r="D6" s="901"/>
      <c r="E6" s="906" t="str">
        <f>'DADOS INICIAIS'!D1</f>
        <v>Manutenção Predial</v>
      </c>
      <c r="F6" s="906"/>
      <c r="G6" s="906"/>
      <c r="H6" s="906"/>
      <c r="I6" s="906"/>
      <c r="J6" s="906"/>
      <c r="K6" s="900"/>
      <c r="L6" s="900"/>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908" t="str">
        <f>'DADOS INICIAIS'!D6</f>
        <v>JUNDIAÍ</v>
      </c>
      <c r="H8" s="908"/>
      <c r="I8" s="908"/>
      <c r="J8" s="908"/>
      <c r="K8" s="908"/>
      <c r="L8" s="908"/>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266</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INICIAIS'!I16</f>
        <v>1997.04</v>
      </c>
    </row>
    <row r="16" spans="1:12" ht="21.75" customHeight="1" x14ac:dyDescent="0.25">
      <c r="A16" s="20"/>
      <c r="B16" s="33">
        <v>2</v>
      </c>
      <c r="C16" s="22" t="s">
        <v>116</v>
      </c>
      <c r="D16" s="22"/>
      <c r="E16" s="22"/>
      <c r="F16" s="22"/>
      <c r="G16" s="22"/>
      <c r="H16" s="22"/>
      <c r="I16" s="22"/>
      <c r="J16" s="22"/>
      <c r="K16" s="22"/>
      <c r="L16" s="139" t="str">
        <f>'DADOS INICIAIS'!I13</f>
        <v>Auxiliar Manutenção</v>
      </c>
    </row>
    <row r="17" spans="1:13" ht="21.75" customHeight="1" x14ac:dyDescent="0.25">
      <c r="A17" s="20"/>
      <c r="B17" s="36">
        <v>3</v>
      </c>
      <c r="C17" s="37" t="s">
        <v>117</v>
      </c>
      <c r="D17" s="37"/>
      <c r="E17" s="37"/>
      <c r="F17" s="37"/>
      <c r="G17" s="37"/>
      <c r="H17" s="37"/>
      <c r="I17" s="37"/>
      <c r="J17" s="37"/>
      <c r="K17" s="37"/>
      <c r="L17" s="38" t="str">
        <f>'DADOS INICIAIS'!H18</f>
        <v>maio</v>
      </c>
    </row>
    <row r="18" spans="1:13" ht="21.75" customHeight="1" x14ac:dyDescent="0.25">
      <c r="A18" s="20"/>
      <c r="B18" s="33">
        <v>4</v>
      </c>
      <c r="C18" s="910" t="s">
        <v>118</v>
      </c>
      <c r="D18" s="910"/>
      <c r="E18" s="910"/>
      <c r="F18" s="910"/>
      <c r="G18" s="910"/>
      <c r="H18" s="910"/>
      <c r="I18" s="910"/>
      <c r="J18" s="910"/>
      <c r="K18" s="910"/>
      <c r="L18" s="140" t="str">
        <f>'DADOS INICIAIS'!I15</f>
        <v>5143-10</v>
      </c>
    </row>
    <row r="19" spans="1:13" ht="21.75" customHeight="1" x14ac:dyDescent="0.25">
      <c r="A19" s="20"/>
      <c r="B19" s="40"/>
      <c r="C19" s="20"/>
      <c r="D19" s="20"/>
      <c r="E19" s="20"/>
      <c r="F19" s="20"/>
      <c r="G19" s="20"/>
      <c r="H19" s="20"/>
      <c r="I19" s="20"/>
      <c r="J19" s="20"/>
      <c r="K19" s="20"/>
      <c r="L19" s="41"/>
    </row>
    <row r="20" spans="1:13" ht="21.75" customHeight="1" x14ac:dyDescent="0.25">
      <c r="A20" s="20"/>
      <c r="B20" s="911" t="s">
        <v>119</v>
      </c>
      <c r="C20" s="911"/>
      <c r="D20" s="911"/>
      <c r="E20" s="911"/>
      <c r="F20" s="911"/>
      <c r="G20" s="911"/>
      <c r="H20" s="911"/>
      <c r="I20" s="911"/>
      <c r="J20" s="911"/>
      <c r="K20" s="911"/>
      <c r="L20" s="42" t="s">
        <v>72</v>
      </c>
      <c r="M20" s="141" t="s">
        <v>267</v>
      </c>
    </row>
    <row r="21" spans="1:13" ht="21.75" customHeight="1" x14ac:dyDescent="0.25">
      <c r="A21" s="20"/>
      <c r="B21" s="33" t="s">
        <v>120</v>
      </c>
      <c r="C21" s="22" t="s">
        <v>121</v>
      </c>
      <c r="D21" s="22"/>
      <c r="E21" s="22"/>
      <c r="F21" s="22"/>
      <c r="G21" s="22"/>
      <c r="H21" s="22"/>
      <c r="I21" s="22"/>
      <c r="J21" s="22"/>
      <c r="K21" s="142"/>
      <c r="L21" s="44">
        <f>AUXILIAR!L20</f>
        <v>1997.04</v>
      </c>
    </row>
    <row r="22" spans="1:13" ht="21.75" customHeight="1" x14ac:dyDescent="0.25">
      <c r="A22" s="20"/>
      <c r="B22" s="33" t="s">
        <v>122</v>
      </c>
      <c r="C22" s="37" t="s">
        <v>30</v>
      </c>
      <c r="D22" s="37"/>
      <c r="E22" s="37"/>
      <c r="F22" s="43" t="s">
        <v>123</v>
      </c>
      <c r="G22" s="43"/>
      <c r="H22" s="37"/>
      <c r="I22" s="43" t="s">
        <v>124</v>
      </c>
      <c r="J22" s="20"/>
      <c r="K22" s="52">
        <f>OFICIAL!K21</f>
        <v>0.3</v>
      </c>
      <c r="L22" s="44">
        <f>L21*K22</f>
        <v>599.11199999999997</v>
      </c>
    </row>
    <row r="23" spans="1:13" ht="21.75" customHeight="1" x14ac:dyDescent="0.25">
      <c r="A23" s="20"/>
      <c r="B23" s="912" t="s">
        <v>125</v>
      </c>
      <c r="C23" s="37" t="s">
        <v>126</v>
      </c>
      <c r="D23" s="37"/>
      <c r="E23" s="37"/>
      <c r="F23" s="43" t="s">
        <v>127</v>
      </c>
      <c r="G23" s="43"/>
      <c r="H23" s="37"/>
      <c r="I23" s="37"/>
      <c r="J23" s="37"/>
      <c r="K23" s="137">
        <f>OFICIAL!K22</f>
        <v>0</v>
      </c>
      <c r="L23" s="913">
        <f>L21*K23</f>
        <v>0</v>
      </c>
    </row>
    <row r="24" spans="1:13" ht="21.75" customHeight="1" x14ac:dyDescent="0.25">
      <c r="A24" s="20"/>
      <c r="B24" s="912"/>
      <c r="C24" s="31"/>
      <c r="D24" s="31"/>
      <c r="E24" s="31"/>
      <c r="F24" s="46" t="s">
        <v>128</v>
      </c>
      <c r="G24" s="46"/>
      <c r="H24" s="31"/>
      <c r="I24" s="47" t="s">
        <v>129</v>
      </c>
      <c r="J24" s="48"/>
      <c r="K24" s="143"/>
      <c r="L24" s="913"/>
    </row>
    <row r="25" spans="1:13" ht="21.75" customHeight="1" x14ac:dyDescent="0.25">
      <c r="A25" s="20"/>
      <c r="B25" s="33" t="s">
        <v>130</v>
      </c>
      <c r="C25" s="914" t="s">
        <v>131</v>
      </c>
      <c r="D25" s="914"/>
      <c r="E25" s="914"/>
      <c r="F25" s="914"/>
      <c r="G25" s="914"/>
      <c r="H25" s="914"/>
      <c r="I25" s="914"/>
      <c r="J25" s="914"/>
      <c r="K25" s="914"/>
      <c r="L25" s="44">
        <f>OFICIAL!L23</f>
        <v>0</v>
      </c>
    </row>
    <row r="26" spans="1:13" ht="21.75" customHeight="1" x14ac:dyDescent="0.25">
      <c r="A26" s="20"/>
      <c r="B26" s="33" t="s">
        <v>132</v>
      </c>
      <c r="C26" s="914" t="s">
        <v>116</v>
      </c>
      <c r="D26" s="914"/>
      <c r="E26" s="914"/>
      <c r="F26" s="914"/>
      <c r="G26" s="914"/>
      <c r="H26" s="914"/>
      <c r="I26" s="914"/>
      <c r="J26" s="914"/>
      <c r="K26" s="914"/>
      <c r="L26" s="44" t="str">
        <f>'DADOS INICIAIS'!I17</f>
        <v>Auxiliar Manutenção</v>
      </c>
    </row>
    <row r="27" spans="1:13" ht="21.75" customHeight="1" x14ac:dyDescent="0.25">
      <c r="A27" s="20"/>
      <c r="B27" s="33" t="s">
        <v>133</v>
      </c>
      <c r="C27" s="914" t="s">
        <v>134</v>
      </c>
      <c r="D27" s="914"/>
      <c r="E27" s="914"/>
      <c r="F27" s="914"/>
      <c r="G27" s="914"/>
      <c r="H27" s="914"/>
      <c r="I27" s="914"/>
      <c r="J27" s="914"/>
      <c r="K27" s="914"/>
      <c r="L27" s="44">
        <f>OFICIAL!L25</f>
        <v>0</v>
      </c>
    </row>
    <row r="28" spans="1:13" ht="21.75" customHeight="1" x14ac:dyDescent="0.25">
      <c r="A28" s="20"/>
      <c r="B28" s="33" t="s">
        <v>135</v>
      </c>
      <c r="C28" s="914" t="s">
        <v>136</v>
      </c>
      <c r="D28" s="914"/>
      <c r="E28" s="914"/>
      <c r="F28" s="914"/>
      <c r="G28" s="914"/>
      <c r="H28" s="914"/>
      <c r="I28" s="914"/>
      <c r="J28" s="914"/>
      <c r="K28" s="914"/>
      <c r="L28" s="44">
        <f>OFICIAL!L26</f>
        <v>0</v>
      </c>
    </row>
    <row r="29" spans="1:13" ht="21.75" customHeight="1" x14ac:dyDescent="0.25">
      <c r="A29" s="20"/>
      <c r="B29" s="911" t="s">
        <v>137</v>
      </c>
      <c r="C29" s="911"/>
      <c r="D29" s="911"/>
      <c r="E29" s="911"/>
      <c r="F29" s="911"/>
      <c r="G29" s="49"/>
      <c r="H29" s="49"/>
      <c r="I29" s="49"/>
      <c r="J29" s="49"/>
      <c r="K29" s="49"/>
      <c r="L29" s="50">
        <f>(SUM(L21:L28)/220)*1.6</f>
        <v>18.881105454545455</v>
      </c>
      <c r="M29" s="50">
        <f>(SUM(L21:L28)/220)*2</f>
        <v>23.601381818181817</v>
      </c>
    </row>
    <row r="30" spans="1:13" ht="21.75" customHeight="1" x14ac:dyDescent="0.25">
      <c r="A30" s="20"/>
      <c r="B30" s="915"/>
      <c r="C30" s="915"/>
      <c r="D30" s="915"/>
      <c r="E30" s="915"/>
      <c r="F30" s="915"/>
      <c r="G30" s="915"/>
      <c r="H30" s="915"/>
      <c r="I30" s="915"/>
      <c r="J30" s="915"/>
      <c r="K30" s="915"/>
      <c r="L30" s="915"/>
    </row>
    <row r="31" spans="1:13" ht="21.75" customHeight="1" x14ac:dyDescent="0.25">
      <c r="A31" s="20"/>
      <c r="B31" s="916" t="s">
        <v>268</v>
      </c>
      <c r="C31" s="916"/>
      <c r="D31" s="916"/>
      <c r="E31" s="916"/>
      <c r="F31" s="916"/>
      <c r="G31" s="916"/>
      <c r="H31" s="916"/>
      <c r="I31" s="916"/>
      <c r="J31" s="916"/>
      <c r="K31" s="916"/>
      <c r="L31" s="916"/>
    </row>
    <row r="32" spans="1:13" ht="21.75" customHeight="1" x14ac:dyDescent="0.25">
      <c r="A32" s="20"/>
      <c r="B32" s="917" t="s">
        <v>269</v>
      </c>
      <c r="C32" s="917"/>
      <c r="D32" s="917"/>
      <c r="E32" s="917"/>
      <c r="F32" s="917"/>
      <c r="G32" s="917"/>
      <c r="H32" s="917"/>
      <c r="I32" s="917"/>
      <c r="J32" s="917"/>
      <c r="K32" s="917"/>
      <c r="L32" s="917"/>
    </row>
    <row r="33" spans="1:13" ht="21.75" customHeight="1" x14ac:dyDescent="0.25">
      <c r="A33" s="20"/>
      <c r="B33" s="51" t="s">
        <v>120</v>
      </c>
      <c r="C33" s="918" t="s">
        <v>140</v>
      </c>
      <c r="D33" s="918"/>
      <c r="E33" s="918"/>
      <c r="F33" s="918"/>
      <c r="G33" s="918"/>
      <c r="H33" s="918"/>
      <c r="I33" s="918"/>
      <c r="J33" s="918"/>
      <c r="K33" s="52">
        <v>8.3299999999999999E-2</v>
      </c>
      <c r="L33" s="53">
        <f>L29*K33</f>
        <v>1.5727960843636364</v>
      </c>
      <c r="M33" s="53">
        <f>$M$29*$K33</f>
        <v>1.9659951054545453</v>
      </c>
    </row>
    <row r="34" spans="1:13" ht="21.75" customHeight="1" x14ac:dyDescent="0.25">
      <c r="A34" s="20"/>
      <c r="B34" s="51" t="s">
        <v>122</v>
      </c>
      <c r="C34" s="918" t="s">
        <v>270</v>
      </c>
      <c r="D34" s="918"/>
      <c r="E34" s="918"/>
      <c r="F34" s="918"/>
      <c r="G34" s="918"/>
      <c r="H34" s="918"/>
      <c r="I34" s="918"/>
      <c r="J34" s="918"/>
      <c r="K34" s="52">
        <v>0.121</v>
      </c>
      <c r="L34" s="53">
        <f>L29*K34</f>
        <v>2.28461376</v>
      </c>
      <c r="M34" s="53">
        <f>$M$29*$K34</f>
        <v>2.8557671999999998</v>
      </c>
    </row>
    <row r="35" spans="1:13" ht="21.75" customHeight="1" x14ac:dyDescent="0.25">
      <c r="A35" s="20"/>
      <c r="B35" s="51"/>
      <c r="C35" s="918" t="s">
        <v>142</v>
      </c>
      <c r="D35" s="918"/>
      <c r="E35" s="918"/>
      <c r="F35" s="918"/>
      <c r="G35" s="918"/>
      <c r="H35" s="918"/>
      <c r="I35" s="918"/>
      <c r="J35" s="918"/>
      <c r="K35" s="52">
        <f>(K33+K34)*K39</f>
        <v>7.518240000000001E-2</v>
      </c>
      <c r="L35" s="53">
        <f>L29*K35</f>
        <v>1.4195268227258184</v>
      </c>
      <c r="M35" s="53">
        <f>$M$29*$K35</f>
        <v>1.7744085284072728</v>
      </c>
    </row>
    <row r="36" spans="1:13" ht="21.75" customHeight="1" x14ac:dyDescent="0.25">
      <c r="A36" s="20"/>
      <c r="B36" s="54"/>
      <c r="C36" s="919"/>
      <c r="D36" s="919"/>
      <c r="E36" s="919"/>
      <c r="F36" s="919"/>
      <c r="G36" s="919"/>
      <c r="H36" s="919"/>
      <c r="I36" s="919"/>
      <c r="J36" s="919"/>
      <c r="K36" s="55">
        <f>K33+K34+K35</f>
        <v>0.27948240000000002</v>
      </c>
      <c r="L36" s="56">
        <f>L29*K36</f>
        <v>5.2769366670894549</v>
      </c>
      <c r="M36" s="144">
        <f>SUM(M33:M35)</f>
        <v>6.5961708338618177</v>
      </c>
    </row>
    <row r="37" spans="1:13" ht="21.75" customHeight="1" x14ac:dyDescent="0.25">
      <c r="A37" s="20"/>
      <c r="B37" s="920"/>
      <c r="C37" s="920"/>
      <c r="D37" s="920"/>
      <c r="E37" s="920"/>
      <c r="F37" s="920"/>
      <c r="G37" s="920"/>
      <c r="H37" s="920"/>
      <c r="I37" s="920"/>
      <c r="J37" s="920"/>
      <c r="K37" s="920"/>
      <c r="L37" s="920"/>
    </row>
    <row r="38" spans="1:13" ht="21.75" customHeight="1" x14ac:dyDescent="0.25">
      <c r="A38" s="20"/>
      <c r="B38" s="921" t="s">
        <v>143</v>
      </c>
      <c r="C38" s="921"/>
      <c r="D38" s="921"/>
      <c r="E38" s="921"/>
      <c r="F38" s="921"/>
      <c r="G38" s="921"/>
      <c r="H38" s="921"/>
      <c r="I38" s="921"/>
      <c r="J38" s="921"/>
      <c r="K38" s="921"/>
      <c r="L38" s="921"/>
    </row>
    <row r="39" spans="1:13" ht="21.75" customHeight="1" x14ac:dyDescent="0.25">
      <c r="A39" s="20"/>
      <c r="B39" s="57" t="s">
        <v>144</v>
      </c>
      <c r="C39" s="20"/>
      <c r="D39" s="20"/>
      <c r="E39" s="20"/>
      <c r="F39" s="20"/>
      <c r="G39" s="20"/>
      <c r="H39" s="20"/>
      <c r="I39" s="20"/>
      <c r="J39" s="20"/>
      <c r="K39" s="58">
        <f>SUM(K40:K47)</f>
        <v>0.3680000000000001</v>
      </c>
      <c r="L39" s="59">
        <f>SUM(L40:L47)</f>
        <v>6.9482468072727279</v>
      </c>
      <c r="M39" s="145">
        <f>SUM(M40:M47)</f>
        <v>8.685308509090909</v>
      </c>
    </row>
    <row r="40" spans="1:13" ht="21.75" customHeight="1" x14ac:dyDescent="0.25">
      <c r="A40" s="20"/>
      <c r="B40" s="33" t="s">
        <v>120</v>
      </c>
      <c r="C40" s="922" t="s">
        <v>145</v>
      </c>
      <c r="D40" s="922"/>
      <c r="E40" s="922"/>
      <c r="F40" s="922"/>
      <c r="G40" s="922"/>
      <c r="H40" s="922"/>
      <c r="I40" s="922"/>
      <c r="J40" s="922"/>
      <c r="K40" s="60">
        <v>0.2</v>
      </c>
      <c r="L40" s="44">
        <f t="shared" ref="L40:L47" si="0">K40*$L$29</f>
        <v>3.7762210909090914</v>
      </c>
      <c r="M40" s="53">
        <f t="shared" ref="M40:M47" si="1">$M$29*$K40</f>
        <v>4.7202763636363638</v>
      </c>
    </row>
    <row r="41" spans="1:13" ht="21.75" customHeight="1" x14ac:dyDescent="0.25">
      <c r="A41" s="20"/>
      <c r="B41" s="33" t="s">
        <v>122</v>
      </c>
      <c r="C41" s="922" t="s">
        <v>146</v>
      </c>
      <c r="D41" s="922"/>
      <c r="E41" s="922"/>
      <c r="F41" s="922"/>
      <c r="G41" s="922"/>
      <c r="H41" s="922"/>
      <c r="I41" s="922"/>
      <c r="J41" s="922"/>
      <c r="K41" s="60">
        <v>1.4999999999999999E-2</v>
      </c>
      <c r="L41" s="44">
        <f t="shared" si="0"/>
        <v>0.28321658181818182</v>
      </c>
      <c r="M41" s="53">
        <f t="shared" si="1"/>
        <v>0.35402072727272726</v>
      </c>
    </row>
    <row r="42" spans="1:13" ht="21.75" customHeight="1" x14ac:dyDescent="0.25">
      <c r="A42" s="20"/>
      <c r="B42" s="33" t="s">
        <v>125</v>
      </c>
      <c r="C42" s="922" t="s">
        <v>147</v>
      </c>
      <c r="D42" s="922"/>
      <c r="E42" s="922"/>
      <c r="F42" s="922"/>
      <c r="G42" s="922"/>
      <c r="H42" s="922"/>
      <c r="I42" s="922"/>
      <c r="J42" s="922"/>
      <c r="K42" s="60">
        <v>0.01</v>
      </c>
      <c r="L42" s="44">
        <f t="shared" si="0"/>
        <v>0.18881105454545455</v>
      </c>
      <c r="M42" s="53">
        <f t="shared" si="1"/>
        <v>0.23601381818181819</v>
      </c>
    </row>
    <row r="43" spans="1:13" ht="21.75" customHeight="1" x14ac:dyDescent="0.25">
      <c r="A43" s="20"/>
      <c r="B43" s="33" t="s">
        <v>130</v>
      </c>
      <c r="C43" s="922" t="s">
        <v>148</v>
      </c>
      <c r="D43" s="922"/>
      <c r="E43" s="922"/>
      <c r="F43" s="922"/>
      <c r="G43" s="922"/>
      <c r="H43" s="922"/>
      <c r="I43" s="922"/>
      <c r="J43" s="922"/>
      <c r="K43" s="60">
        <v>2E-3</v>
      </c>
      <c r="L43" s="44">
        <f t="shared" si="0"/>
        <v>3.7762210909090911E-2</v>
      </c>
      <c r="M43" s="53">
        <f t="shared" si="1"/>
        <v>4.7202763636363637E-2</v>
      </c>
    </row>
    <row r="44" spans="1:13" ht="21.75" customHeight="1" x14ac:dyDescent="0.25">
      <c r="A44" s="20"/>
      <c r="B44" s="33" t="s">
        <v>132</v>
      </c>
      <c r="C44" s="922" t="s">
        <v>149</v>
      </c>
      <c r="D44" s="922"/>
      <c r="E44" s="922"/>
      <c r="F44" s="922"/>
      <c r="G44" s="922"/>
      <c r="H44" s="922"/>
      <c r="I44" s="922"/>
      <c r="J44" s="922"/>
      <c r="K44" s="60">
        <v>2.5000000000000001E-2</v>
      </c>
      <c r="L44" s="44">
        <f t="shared" si="0"/>
        <v>0.47202763636363643</v>
      </c>
      <c r="M44" s="53">
        <f t="shared" si="1"/>
        <v>0.59003454545454548</v>
      </c>
    </row>
    <row r="45" spans="1:13" ht="21.75" customHeight="1" x14ac:dyDescent="0.25">
      <c r="A45" s="20"/>
      <c r="B45" s="33" t="s">
        <v>133</v>
      </c>
      <c r="C45" s="922" t="s">
        <v>150</v>
      </c>
      <c r="D45" s="922"/>
      <c r="E45" s="922"/>
      <c r="F45" s="922"/>
      <c r="G45" s="922"/>
      <c r="H45" s="922"/>
      <c r="I45" s="922"/>
      <c r="J45" s="922"/>
      <c r="K45" s="60">
        <v>0.08</v>
      </c>
      <c r="L45" s="44">
        <f t="shared" si="0"/>
        <v>1.5104884363636364</v>
      </c>
      <c r="M45" s="53">
        <f t="shared" si="1"/>
        <v>1.8881105454545455</v>
      </c>
    </row>
    <row r="46" spans="1:13"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0.56643316363636365</v>
      </c>
      <c r="M46" s="53">
        <f t="shared" si="1"/>
        <v>0.70804145454545453</v>
      </c>
    </row>
    <row r="47" spans="1:13" ht="21.75" customHeight="1" x14ac:dyDescent="0.25">
      <c r="A47" s="20"/>
      <c r="B47" s="33" t="s">
        <v>153</v>
      </c>
      <c r="C47" s="63" t="s">
        <v>154</v>
      </c>
      <c r="D47" s="64"/>
      <c r="E47" s="64"/>
      <c r="F47" s="64"/>
      <c r="G47" s="64"/>
      <c r="H47" s="64"/>
      <c r="I47" s="64"/>
      <c r="J47" s="65"/>
      <c r="K47" s="60">
        <v>6.0000000000000001E-3</v>
      </c>
      <c r="L47" s="44">
        <f t="shared" si="0"/>
        <v>0.11328663272727274</v>
      </c>
      <c r="M47" s="53">
        <f t="shared" si="1"/>
        <v>0.14160829090909091</v>
      </c>
    </row>
    <row r="48" spans="1:13" ht="21.75" customHeight="1" x14ac:dyDescent="0.25">
      <c r="A48" s="20"/>
      <c r="B48" s="915"/>
      <c r="C48" s="915"/>
      <c r="D48" s="915"/>
      <c r="E48" s="915"/>
      <c r="F48" s="915"/>
      <c r="G48" s="915"/>
      <c r="H48" s="915"/>
      <c r="I48" s="915"/>
      <c r="J48" s="915"/>
      <c r="K48" s="915"/>
      <c r="L48" s="915"/>
    </row>
    <row r="49" spans="1:13" ht="21.75" customHeight="1" x14ac:dyDescent="0.25">
      <c r="A49" s="20"/>
      <c r="B49" s="916" t="s">
        <v>155</v>
      </c>
      <c r="C49" s="916"/>
      <c r="D49" s="916"/>
      <c r="E49" s="916"/>
      <c r="F49" s="916"/>
      <c r="G49" s="916"/>
      <c r="H49" s="916"/>
      <c r="I49" s="916"/>
      <c r="J49" s="916"/>
      <c r="K49" s="916"/>
      <c r="L49" s="916"/>
    </row>
    <row r="50" spans="1:13" ht="21.75" customHeight="1" x14ac:dyDescent="0.25">
      <c r="A50" s="20"/>
      <c r="B50" s="33" t="s">
        <v>120</v>
      </c>
      <c r="C50" s="924" t="s">
        <v>156</v>
      </c>
      <c r="D50" s="924"/>
      <c r="E50" s="924"/>
      <c r="F50" s="924"/>
      <c r="G50" s="924"/>
      <c r="H50" s="924"/>
      <c r="I50" s="924"/>
      <c r="J50" s="924"/>
      <c r="K50" s="924"/>
      <c r="L50" s="66">
        <v>0</v>
      </c>
    </row>
    <row r="51" spans="1:13" ht="21.75" customHeight="1" x14ac:dyDescent="0.25">
      <c r="A51" s="20"/>
      <c r="B51" s="33" t="s">
        <v>122</v>
      </c>
      <c r="C51" s="924" t="s">
        <v>157</v>
      </c>
      <c r="D51" s="924"/>
      <c r="E51" s="924"/>
      <c r="F51" s="924"/>
      <c r="G51" s="924"/>
      <c r="H51" s="924"/>
      <c r="I51" s="924"/>
      <c r="J51" s="924"/>
      <c r="K51" s="924"/>
      <c r="L51" s="66">
        <v>0</v>
      </c>
    </row>
    <row r="52" spans="1:13" ht="21.75" customHeight="1" x14ac:dyDescent="0.25">
      <c r="A52" s="20"/>
      <c r="B52" s="33" t="s">
        <v>125</v>
      </c>
      <c r="C52" s="924" t="s">
        <v>37</v>
      </c>
      <c r="D52" s="924"/>
      <c r="E52" s="924"/>
      <c r="F52" s="924"/>
      <c r="G52" s="924"/>
      <c r="H52" s="924"/>
      <c r="I52" s="924"/>
      <c r="J52" s="924"/>
      <c r="K52" s="924"/>
      <c r="L52" s="66">
        <v>0</v>
      </c>
    </row>
    <row r="53" spans="1:13" ht="21.75" customHeight="1" x14ac:dyDescent="0.25">
      <c r="A53" s="20"/>
      <c r="B53" s="33" t="s">
        <v>130</v>
      </c>
      <c r="C53" s="924" t="s">
        <v>158</v>
      </c>
      <c r="D53" s="924"/>
      <c r="E53" s="924"/>
      <c r="F53" s="924"/>
      <c r="G53" s="924"/>
      <c r="H53" s="924"/>
      <c r="I53" s="924"/>
      <c r="J53" s="924"/>
      <c r="K53" s="924"/>
      <c r="L53" s="66">
        <v>0</v>
      </c>
    </row>
    <row r="54" spans="1:13" ht="21.75" customHeight="1" x14ac:dyDescent="0.25">
      <c r="A54" s="20"/>
      <c r="B54" s="33" t="s">
        <v>132</v>
      </c>
      <c r="C54" s="924" t="s">
        <v>159</v>
      </c>
      <c r="D54" s="924"/>
      <c r="E54" s="924"/>
      <c r="F54" s="924"/>
      <c r="G54" s="924"/>
      <c r="H54" s="924"/>
      <c r="I54" s="924"/>
      <c r="J54" s="924"/>
      <c r="K54" s="924"/>
      <c r="L54" s="66">
        <v>0</v>
      </c>
    </row>
    <row r="55" spans="1:13" ht="21.75" customHeight="1" x14ac:dyDescent="0.25">
      <c r="A55" s="20"/>
      <c r="B55" s="33" t="s">
        <v>133</v>
      </c>
      <c r="C55" s="924" t="s">
        <v>160</v>
      </c>
      <c r="D55" s="924"/>
      <c r="E55" s="924"/>
      <c r="F55" s="924"/>
      <c r="G55" s="924"/>
      <c r="H55" s="924"/>
      <c r="I55" s="924"/>
      <c r="J55" s="924"/>
      <c r="K55" s="924"/>
      <c r="L55" s="66">
        <v>0</v>
      </c>
    </row>
    <row r="56" spans="1:13" ht="21.75" customHeight="1" x14ac:dyDescent="0.25">
      <c r="A56" s="20"/>
      <c r="B56" s="33" t="s">
        <v>135</v>
      </c>
      <c r="C56" s="924" t="s">
        <v>271</v>
      </c>
      <c r="D56" s="924"/>
      <c r="E56" s="924"/>
      <c r="F56" s="924"/>
      <c r="G56" s="924"/>
      <c r="H56" s="924"/>
      <c r="I56" s="924"/>
      <c r="J56" s="924"/>
      <c r="K56" s="924"/>
      <c r="L56" s="66">
        <f>' Enc e Beneficios Oficial'!H21</f>
        <v>0</v>
      </c>
    </row>
    <row r="57" spans="1:13" ht="21.75" customHeight="1" x14ac:dyDescent="0.25">
      <c r="A57" s="20"/>
      <c r="B57" s="33" t="s">
        <v>153</v>
      </c>
      <c r="C57" s="924" t="s">
        <v>272</v>
      </c>
      <c r="D57" s="924"/>
      <c r="E57" s="924"/>
      <c r="F57" s="924"/>
      <c r="G57" s="924"/>
      <c r="H57" s="924"/>
      <c r="I57" s="924"/>
      <c r="J57" s="924"/>
      <c r="K57" s="924"/>
      <c r="L57" s="66">
        <v>0</v>
      </c>
    </row>
    <row r="58" spans="1:13" ht="21.75" customHeight="1" x14ac:dyDescent="0.25">
      <c r="A58" s="20"/>
      <c r="B58" s="33" t="s">
        <v>161</v>
      </c>
      <c r="C58" s="924" t="s">
        <v>136</v>
      </c>
      <c r="D58" s="924"/>
      <c r="E58" s="924"/>
      <c r="F58" s="924"/>
      <c r="G58" s="924"/>
      <c r="H58" s="924"/>
      <c r="I58" s="924"/>
      <c r="J58" s="924"/>
      <c r="K58" s="924"/>
      <c r="L58" s="66"/>
    </row>
    <row r="59" spans="1:13" ht="21.75" customHeight="1" x14ac:dyDescent="0.25">
      <c r="A59" s="20"/>
      <c r="B59" s="33"/>
      <c r="C59" s="919" t="s">
        <v>162</v>
      </c>
      <c r="D59" s="919"/>
      <c r="E59" s="919"/>
      <c r="F59" s="919"/>
      <c r="G59" s="919"/>
      <c r="H59" s="919"/>
      <c r="I59" s="919"/>
      <c r="J59" s="919"/>
      <c r="K59" s="919"/>
      <c r="L59" s="56">
        <f>SUM(L50:L58)</f>
        <v>0</v>
      </c>
    </row>
    <row r="60" spans="1:13" ht="21.75" customHeight="1" x14ac:dyDescent="0.25">
      <c r="A60" s="20"/>
      <c r="B60" s="920"/>
      <c r="C60" s="920"/>
      <c r="D60" s="920"/>
      <c r="E60" s="920"/>
      <c r="F60" s="920"/>
      <c r="G60" s="920"/>
      <c r="H60" s="920"/>
      <c r="I60" s="920"/>
      <c r="J60" s="920"/>
      <c r="K60" s="920"/>
      <c r="L60" s="920"/>
    </row>
    <row r="61" spans="1:13" ht="21.75" customHeight="1" x14ac:dyDescent="0.25">
      <c r="A61" s="20"/>
      <c r="B61" s="921" t="s">
        <v>163</v>
      </c>
      <c r="C61" s="921"/>
      <c r="D61" s="921"/>
      <c r="E61" s="921"/>
      <c r="F61" s="921"/>
      <c r="G61" s="921"/>
      <c r="H61" s="921"/>
      <c r="I61" s="921"/>
      <c r="J61" s="921"/>
      <c r="K61" s="921"/>
      <c r="L61" s="921"/>
    </row>
    <row r="62" spans="1:13" ht="21.75" customHeight="1" x14ac:dyDescent="0.25">
      <c r="A62" s="20"/>
      <c r="B62" s="67" t="s">
        <v>164</v>
      </c>
      <c r="C62" s="925" t="s">
        <v>165</v>
      </c>
      <c r="D62" s="925"/>
      <c r="E62" s="925"/>
      <c r="F62" s="925"/>
      <c r="G62" s="925"/>
      <c r="H62" s="925"/>
      <c r="I62" s="925"/>
      <c r="J62" s="925"/>
      <c r="K62" s="68">
        <f>K36</f>
        <v>0.27948240000000002</v>
      </c>
      <c r="L62" s="69">
        <f>K62*L29</f>
        <v>5.2769366670894549</v>
      </c>
      <c r="M62" s="53">
        <f>$M$29*$K62</f>
        <v>6.5961708338618186</v>
      </c>
    </row>
    <row r="63" spans="1:13" ht="21.75" customHeight="1" x14ac:dyDescent="0.25">
      <c r="A63" s="20"/>
      <c r="B63" s="67" t="s">
        <v>166</v>
      </c>
      <c r="C63" s="926" t="s">
        <v>167</v>
      </c>
      <c r="D63" s="926"/>
      <c r="E63" s="926"/>
      <c r="F63" s="926"/>
      <c r="G63" s="926"/>
      <c r="H63" s="926"/>
      <c r="I63" s="926"/>
      <c r="J63" s="926"/>
      <c r="K63" s="68">
        <f>K39</f>
        <v>0.3680000000000001</v>
      </c>
      <c r="L63" s="69">
        <f>K63*L29</f>
        <v>6.9482468072727297</v>
      </c>
      <c r="M63" s="53">
        <f>$M$29*$K63</f>
        <v>8.6853085090909108</v>
      </c>
    </row>
    <row r="64" spans="1:13" ht="21.75" customHeight="1" x14ac:dyDescent="0.25">
      <c r="A64" s="20"/>
      <c r="B64" s="67" t="s">
        <v>168</v>
      </c>
      <c r="C64" s="926" t="s">
        <v>169</v>
      </c>
      <c r="D64" s="926"/>
      <c r="E64" s="926"/>
      <c r="F64" s="926"/>
      <c r="G64" s="926"/>
      <c r="H64" s="926"/>
      <c r="I64" s="926"/>
      <c r="J64" s="926"/>
      <c r="K64" s="926"/>
      <c r="L64" s="69">
        <f>L59</f>
        <v>0</v>
      </c>
      <c r="M64" s="146">
        <f>M59</f>
        <v>0</v>
      </c>
    </row>
    <row r="65" spans="1:13" ht="21.75" customHeight="1" x14ac:dyDescent="0.25">
      <c r="A65" s="20"/>
      <c r="B65" s="70"/>
      <c r="C65" s="927" t="s">
        <v>162</v>
      </c>
      <c r="D65" s="927"/>
      <c r="E65" s="927"/>
      <c r="F65" s="927"/>
      <c r="G65" s="927"/>
      <c r="H65" s="927"/>
      <c r="I65" s="927"/>
      <c r="J65" s="927"/>
      <c r="K65" s="927"/>
      <c r="L65" s="71">
        <f>L62+L63+L64</f>
        <v>12.225183474362185</v>
      </c>
      <c r="M65" s="144">
        <f>SUM(M62:M64)</f>
        <v>15.281479342952728</v>
      </c>
    </row>
    <row r="66" spans="1:13" s="73" customFormat="1" ht="21.75" customHeight="1" x14ac:dyDescent="0.25">
      <c r="A66" s="72"/>
      <c r="B66" s="915"/>
      <c r="C66" s="915"/>
      <c r="D66" s="915"/>
      <c r="E66" s="915"/>
      <c r="F66" s="915"/>
      <c r="G66" s="915"/>
      <c r="H66" s="915"/>
      <c r="I66" s="915"/>
      <c r="J66" s="915"/>
      <c r="K66" s="915"/>
      <c r="L66" s="915"/>
    </row>
    <row r="67" spans="1:13" ht="21.75" customHeight="1" x14ac:dyDescent="0.25">
      <c r="A67" s="72"/>
      <c r="B67" s="916" t="s">
        <v>273</v>
      </c>
      <c r="C67" s="916"/>
      <c r="D67" s="916"/>
      <c r="E67" s="916"/>
      <c r="F67" s="916"/>
      <c r="G67" s="916"/>
      <c r="H67" s="916"/>
      <c r="I67" s="916"/>
      <c r="J67" s="916"/>
      <c r="K67" s="916"/>
      <c r="L67" s="916"/>
    </row>
    <row r="68" spans="1:13" ht="21.75" customHeight="1" x14ac:dyDescent="0.25">
      <c r="A68" s="72"/>
      <c r="B68" s="33" t="s">
        <v>120</v>
      </c>
      <c r="C68" s="74" t="s">
        <v>171</v>
      </c>
      <c r="D68" s="75"/>
      <c r="E68" s="3">
        <v>30</v>
      </c>
      <c r="F68" s="2" t="s">
        <v>172</v>
      </c>
      <c r="G68" s="928" t="s">
        <v>274</v>
      </c>
      <c r="H68" s="928"/>
      <c r="I68" s="929">
        <f>AUXILIAR!I66</f>
        <v>0.05</v>
      </c>
      <c r="J68" s="929"/>
      <c r="K68" s="76">
        <f>E68/360*I68</f>
        <v>4.1666666666666666E-3</v>
      </c>
      <c r="L68" s="66">
        <f t="shared" ref="L68:L74" si="2">K68*$L$29</f>
        <v>7.8671272727272729E-2</v>
      </c>
      <c r="M68" s="53">
        <f t="shared" ref="M68:M74" si="3">$M$29*$K68</f>
        <v>9.8339090909090904E-2</v>
      </c>
    </row>
    <row r="69" spans="1:13" ht="21.75" customHeight="1" x14ac:dyDescent="0.25">
      <c r="A69" s="72"/>
      <c r="B69" s="33" t="s">
        <v>122</v>
      </c>
      <c r="C69" s="930" t="s">
        <v>174</v>
      </c>
      <c r="D69" s="930"/>
      <c r="E69" s="930"/>
      <c r="F69" s="930"/>
      <c r="G69" s="930"/>
      <c r="H69" s="930"/>
      <c r="I69" s="930"/>
      <c r="J69" s="930"/>
      <c r="K69" s="76">
        <f>K45*K68</f>
        <v>3.3333333333333332E-4</v>
      </c>
      <c r="L69" s="66">
        <f t="shared" si="2"/>
        <v>6.2937018181818179E-3</v>
      </c>
      <c r="M69" s="53">
        <f t="shared" si="3"/>
        <v>7.8671272727272729E-3</v>
      </c>
    </row>
    <row r="70" spans="1:13" ht="21.75" customHeight="1" x14ac:dyDescent="0.25">
      <c r="A70" s="72"/>
      <c r="B70" s="33" t="s">
        <v>125</v>
      </c>
      <c r="C70" s="930" t="s">
        <v>175</v>
      </c>
      <c r="D70" s="930"/>
      <c r="E70" s="930"/>
      <c r="F70" s="930"/>
      <c r="G70" s="930"/>
      <c r="H70" s="930"/>
      <c r="I70" s="930"/>
      <c r="J70" s="930"/>
      <c r="K70" s="147">
        <f>0.5*K45*K68</f>
        <v>1.6666666666666666E-4</v>
      </c>
      <c r="L70" s="66">
        <f t="shared" si="2"/>
        <v>3.146850909090909E-3</v>
      </c>
      <c r="M70" s="53">
        <f t="shared" si="3"/>
        <v>3.9335636363636364E-3</v>
      </c>
    </row>
    <row r="71" spans="1:13" ht="21.75" customHeight="1" x14ac:dyDescent="0.25">
      <c r="A71" s="72"/>
      <c r="B71" s="33" t="s">
        <v>130</v>
      </c>
      <c r="C71" s="930" t="s">
        <v>176</v>
      </c>
      <c r="D71" s="930"/>
      <c r="E71" s="930"/>
      <c r="F71" s="930"/>
      <c r="G71" s="930"/>
      <c r="H71" s="930"/>
      <c r="I71" s="930"/>
      <c r="J71" s="930"/>
      <c r="K71" s="76">
        <f>7/30/L9</f>
        <v>1.9444444444444445E-2</v>
      </c>
      <c r="L71" s="66">
        <f t="shared" si="2"/>
        <v>0.3671326060606061</v>
      </c>
      <c r="M71" s="53">
        <f t="shared" si="3"/>
        <v>0.45891575757575759</v>
      </c>
    </row>
    <row r="72" spans="1:13" ht="21.75" customHeight="1" x14ac:dyDescent="0.25">
      <c r="A72" s="72"/>
      <c r="B72" s="33" t="s">
        <v>133</v>
      </c>
      <c r="C72" s="930" t="s">
        <v>177</v>
      </c>
      <c r="D72" s="930"/>
      <c r="E72" s="930"/>
      <c r="F72" s="930"/>
      <c r="G72" s="930"/>
      <c r="H72" s="930"/>
      <c r="I72" s="930"/>
      <c r="J72" s="930"/>
      <c r="K72" s="77">
        <f>0.5*K45*K71</f>
        <v>7.7777777777777784E-4</v>
      </c>
      <c r="L72" s="66">
        <f t="shared" si="2"/>
        <v>1.4685304242424244E-2</v>
      </c>
      <c r="M72" s="53">
        <f t="shared" si="3"/>
        <v>1.8356630303030304E-2</v>
      </c>
    </row>
    <row r="73" spans="1:13" ht="21.75" customHeight="1" x14ac:dyDescent="0.25">
      <c r="A73" s="72"/>
      <c r="B73" s="33" t="s">
        <v>135</v>
      </c>
      <c r="C73" s="930" t="s">
        <v>178</v>
      </c>
      <c r="D73" s="930"/>
      <c r="E73" s="930"/>
      <c r="F73" s="930"/>
      <c r="G73" s="930"/>
      <c r="H73" s="930"/>
      <c r="I73" s="930"/>
      <c r="J73" s="930"/>
      <c r="K73" s="77">
        <v>0.05</v>
      </c>
      <c r="L73" s="66">
        <f t="shared" si="2"/>
        <v>0.94405527272727285</v>
      </c>
      <c r="M73" s="53">
        <f t="shared" si="3"/>
        <v>1.180069090909091</v>
      </c>
    </row>
    <row r="74" spans="1:13" ht="21.75" customHeight="1" x14ac:dyDescent="0.25">
      <c r="A74" s="72"/>
      <c r="B74" s="33" t="s">
        <v>153</v>
      </c>
      <c r="C74" s="930" t="s">
        <v>179</v>
      </c>
      <c r="D74" s="930"/>
      <c r="E74" s="930"/>
      <c r="F74" s="930"/>
      <c r="G74" s="930"/>
      <c r="H74" s="930"/>
      <c r="I74" s="930"/>
      <c r="J74" s="930"/>
      <c r="K74" s="77">
        <f>(K68+K69+K70+K71+K72+K73)*K39</f>
        <v>2.7559111111111121E-2</v>
      </c>
      <c r="L74" s="66">
        <f t="shared" si="2"/>
        <v>0.52034648312242449</v>
      </c>
      <c r="M74" s="53">
        <f t="shared" si="3"/>
        <v>0.65043310390303055</v>
      </c>
    </row>
    <row r="75" spans="1:13" ht="21.75" customHeight="1" x14ac:dyDescent="0.25">
      <c r="A75" s="72"/>
      <c r="B75" s="912" t="s">
        <v>162</v>
      </c>
      <c r="C75" s="912"/>
      <c r="D75" s="912"/>
      <c r="E75" s="912"/>
      <c r="F75" s="912"/>
      <c r="G75" s="912"/>
      <c r="H75" s="912"/>
      <c r="I75" s="912"/>
      <c r="J75" s="912"/>
      <c r="K75" s="78"/>
      <c r="L75" s="79">
        <f>L68+L69+L70+L71+L72+L73+L74</f>
        <v>1.9343314916072731</v>
      </c>
      <c r="M75" s="145">
        <f>SUM(M68:M74)</f>
        <v>2.417914364509091</v>
      </c>
    </row>
    <row r="76" spans="1:13" ht="21.75" customHeight="1" x14ac:dyDescent="0.25">
      <c r="A76" s="72"/>
      <c r="B76" s="915"/>
      <c r="C76" s="915"/>
      <c r="D76" s="915"/>
      <c r="E76" s="915"/>
      <c r="F76" s="915"/>
      <c r="G76" s="915"/>
      <c r="H76" s="915"/>
      <c r="I76" s="915"/>
      <c r="J76" s="915"/>
      <c r="K76" s="915"/>
      <c r="L76" s="915"/>
    </row>
    <row r="77" spans="1:13" ht="21.75" customHeight="1" x14ac:dyDescent="0.25">
      <c r="A77" s="72"/>
      <c r="B77" s="916" t="s">
        <v>275</v>
      </c>
      <c r="C77" s="916"/>
      <c r="D77" s="916"/>
      <c r="E77" s="916"/>
      <c r="F77" s="916"/>
      <c r="G77" s="916"/>
      <c r="H77" s="916"/>
      <c r="I77" s="916"/>
      <c r="J77" s="916"/>
      <c r="K77" s="916"/>
      <c r="L77" s="916"/>
    </row>
    <row r="78" spans="1:13" ht="21.75" customHeight="1" x14ac:dyDescent="0.25">
      <c r="A78" s="72"/>
      <c r="B78" s="916" t="s">
        <v>181</v>
      </c>
      <c r="C78" s="916"/>
      <c r="D78" s="916"/>
      <c r="E78" s="916"/>
      <c r="F78" s="916"/>
      <c r="G78" s="916"/>
      <c r="H78" s="916"/>
      <c r="I78" s="916"/>
      <c r="J78" s="916"/>
      <c r="K78" s="916"/>
      <c r="L78" s="916"/>
    </row>
    <row r="79" spans="1:13" ht="21.75" customHeight="1" x14ac:dyDescent="0.25">
      <c r="A79" s="72"/>
      <c r="B79" s="33" t="s">
        <v>120</v>
      </c>
      <c r="C79" s="928" t="s">
        <v>182</v>
      </c>
      <c r="D79" s="928"/>
      <c r="E79" s="928"/>
      <c r="F79" s="928"/>
      <c r="G79" s="928"/>
      <c r="H79" s="928"/>
      <c r="I79" s="928"/>
      <c r="J79" s="928"/>
      <c r="K79" s="77">
        <v>0.121</v>
      </c>
      <c r="L79" s="80">
        <f t="shared" ref="L79:L86" si="4">K79*$L$29</f>
        <v>2.28461376</v>
      </c>
      <c r="M79" s="53">
        <f t="shared" ref="M79:M86" si="5">$M$29*$K79</f>
        <v>2.8557671999999998</v>
      </c>
    </row>
    <row r="80" spans="1:13" ht="21.75" customHeight="1" x14ac:dyDescent="0.25">
      <c r="A80" s="72"/>
      <c r="B80" s="33" t="s">
        <v>122</v>
      </c>
      <c r="C80" s="928" t="s">
        <v>183</v>
      </c>
      <c r="D80" s="928"/>
      <c r="E80" s="928"/>
      <c r="F80" s="2" t="s">
        <v>184</v>
      </c>
      <c r="G80" s="3">
        <f>AUXILIAR!G76</f>
        <v>5</v>
      </c>
      <c r="H80" s="928" t="s">
        <v>185</v>
      </c>
      <c r="I80" s="928"/>
      <c r="J80" s="148">
        <f>AUXILIAR!J76</f>
        <v>1</v>
      </c>
      <c r="K80" s="81">
        <v>0</v>
      </c>
      <c r="L80" s="80">
        <f t="shared" si="4"/>
        <v>0</v>
      </c>
      <c r="M80" s="53">
        <f t="shared" si="5"/>
        <v>0</v>
      </c>
    </row>
    <row r="81" spans="1:13" ht="21.75" customHeight="1" x14ac:dyDescent="0.25">
      <c r="A81" s="72"/>
      <c r="B81" s="33" t="s">
        <v>122</v>
      </c>
      <c r="C81" s="928" t="s">
        <v>186</v>
      </c>
      <c r="D81" s="928"/>
      <c r="E81" s="928"/>
      <c r="F81" s="2" t="s">
        <v>184</v>
      </c>
      <c r="G81" s="3">
        <f>AUXILIAR!G77</f>
        <v>5</v>
      </c>
      <c r="H81" s="928" t="s">
        <v>185</v>
      </c>
      <c r="I81" s="928"/>
      <c r="J81" s="148">
        <f>AUXILIAR!J77</f>
        <v>1</v>
      </c>
      <c r="K81" s="81">
        <v>0</v>
      </c>
      <c r="L81" s="80">
        <f t="shared" si="4"/>
        <v>0</v>
      </c>
      <c r="M81" s="53">
        <f t="shared" si="5"/>
        <v>0</v>
      </c>
    </row>
    <row r="82" spans="1:13" ht="21.75" customHeight="1" x14ac:dyDescent="0.25">
      <c r="A82" s="72"/>
      <c r="B82" s="33" t="s">
        <v>125</v>
      </c>
      <c r="C82" s="928" t="s">
        <v>187</v>
      </c>
      <c r="D82" s="928"/>
      <c r="E82" s="928"/>
      <c r="F82" s="2" t="s">
        <v>184</v>
      </c>
      <c r="G82" s="3">
        <f>AUXILIAR!G78</f>
        <v>5</v>
      </c>
      <c r="H82" s="928" t="s">
        <v>185</v>
      </c>
      <c r="I82" s="928"/>
      <c r="J82" s="149">
        <f>AUXILIAR!J78</f>
        <v>1.4999999999999999E-2</v>
      </c>
      <c r="K82" s="81">
        <v>0</v>
      </c>
      <c r="L82" s="80">
        <f t="shared" si="4"/>
        <v>0</v>
      </c>
      <c r="M82" s="53">
        <f t="shared" si="5"/>
        <v>0</v>
      </c>
    </row>
    <row r="83" spans="1:13" ht="21.75" customHeight="1" x14ac:dyDescent="0.25">
      <c r="A83" s="72"/>
      <c r="B83" s="33" t="s">
        <v>130</v>
      </c>
      <c r="C83" s="928" t="s">
        <v>188</v>
      </c>
      <c r="D83" s="928"/>
      <c r="E83" s="928"/>
      <c r="F83" s="2" t="s">
        <v>184</v>
      </c>
      <c r="G83" s="3">
        <f>AUXILIAR!G79</f>
        <v>2</v>
      </c>
      <c r="H83" s="928" t="s">
        <v>185</v>
      </c>
      <c r="I83" s="928"/>
      <c r="J83" s="82">
        <f>AUXILIAR!J79</f>
        <v>0.01</v>
      </c>
      <c r="K83" s="81">
        <v>0</v>
      </c>
      <c r="L83" s="80">
        <f t="shared" si="4"/>
        <v>0</v>
      </c>
      <c r="M83" s="53">
        <f t="shared" si="5"/>
        <v>0</v>
      </c>
    </row>
    <row r="84" spans="1:13" ht="21.75" customHeight="1" x14ac:dyDescent="0.25">
      <c r="A84" s="72"/>
      <c r="B84" s="33" t="s">
        <v>132</v>
      </c>
      <c r="C84" s="928" t="s">
        <v>189</v>
      </c>
      <c r="D84" s="928"/>
      <c r="E84" s="928"/>
      <c r="F84" s="2" t="s">
        <v>184</v>
      </c>
      <c r="G84" s="3">
        <f>AUXILIAR!G80</f>
        <v>0</v>
      </c>
      <c r="H84" s="928" t="s">
        <v>185</v>
      </c>
      <c r="I84" s="928"/>
      <c r="J84" s="148">
        <f>AUXILIAR!J80</f>
        <v>0.02</v>
      </c>
      <c r="K84" s="81">
        <v>0</v>
      </c>
      <c r="L84" s="80">
        <f t="shared" si="4"/>
        <v>0</v>
      </c>
      <c r="M84" s="53">
        <f t="shared" si="5"/>
        <v>0</v>
      </c>
    </row>
    <row r="85" spans="1:13" ht="21.75" customHeight="1" x14ac:dyDescent="0.25">
      <c r="A85" s="72"/>
      <c r="B85" s="33" t="s">
        <v>133</v>
      </c>
      <c r="C85" s="928" t="str">
        <f>OFICIAL!C81</f>
        <v>Outros (especificar)</v>
      </c>
      <c r="D85" s="928"/>
      <c r="E85" s="928"/>
      <c r="F85" s="2" t="s">
        <v>184</v>
      </c>
      <c r="G85" s="3">
        <f>AUXILIAR!G81</f>
        <v>0</v>
      </c>
      <c r="H85" s="928" t="s">
        <v>185</v>
      </c>
      <c r="I85" s="928"/>
      <c r="J85" s="3">
        <f>AUXILIAR!J81</f>
        <v>0</v>
      </c>
      <c r="K85" s="81">
        <v>0</v>
      </c>
      <c r="L85" s="80">
        <f t="shared" si="4"/>
        <v>0</v>
      </c>
      <c r="M85" s="53">
        <f t="shared" si="5"/>
        <v>0</v>
      </c>
    </row>
    <row r="86" spans="1:13" ht="21.75" customHeight="1" x14ac:dyDescent="0.25">
      <c r="A86" s="72"/>
      <c r="B86" s="33" t="s">
        <v>135</v>
      </c>
      <c r="C86" s="928" t="s">
        <v>190</v>
      </c>
      <c r="D86" s="928"/>
      <c r="E86" s="928"/>
      <c r="F86" s="928"/>
      <c r="G86" s="928"/>
      <c r="H86" s="928"/>
      <c r="I86" s="928"/>
      <c r="J86" s="928"/>
      <c r="K86" s="76">
        <v>0</v>
      </c>
      <c r="L86" s="80">
        <f t="shared" si="4"/>
        <v>0</v>
      </c>
      <c r="M86" s="53">
        <f t="shared" si="5"/>
        <v>0</v>
      </c>
    </row>
    <row r="87" spans="1:13" ht="21.75" customHeight="1" x14ac:dyDescent="0.25">
      <c r="A87" s="72"/>
      <c r="B87" s="912" t="s">
        <v>162</v>
      </c>
      <c r="C87" s="912"/>
      <c r="D87" s="912"/>
      <c r="E87" s="912"/>
      <c r="F87" s="912"/>
      <c r="G87" s="912"/>
      <c r="H87" s="912"/>
      <c r="I87" s="912"/>
      <c r="J87" s="912"/>
      <c r="K87" s="82">
        <f>SUM(K79:K86)</f>
        <v>0.121</v>
      </c>
      <c r="L87" s="83">
        <f>SUM(L79:L86)</f>
        <v>2.28461376</v>
      </c>
      <c r="M87" s="145">
        <f>SUM(M79:M86)</f>
        <v>2.8557671999999998</v>
      </c>
    </row>
    <row r="88" spans="1:13" ht="21.75" customHeight="1" x14ac:dyDescent="0.25">
      <c r="A88" s="72"/>
      <c r="B88" s="915"/>
      <c r="C88" s="915"/>
      <c r="D88" s="915"/>
      <c r="E88" s="915"/>
      <c r="F88" s="915"/>
      <c r="G88" s="915"/>
      <c r="H88" s="915"/>
      <c r="I88" s="915"/>
      <c r="J88" s="915"/>
      <c r="K88" s="915"/>
      <c r="L88" s="915"/>
    </row>
    <row r="89" spans="1:13" ht="21.75" customHeight="1" x14ac:dyDescent="0.25">
      <c r="A89" s="72"/>
      <c r="B89" s="916" t="s">
        <v>191</v>
      </c>
      <c r="C89" s="916"/>
      <c r="D89" s="916"/>
      <c r="E89" s="916"/>
      <c r="F89" s="916"/>
      <c r="G89" s="916"/>
      <c r="H89" s="916"/>
      <c r="I89" s="916"/>
      <c r="J89" s="916"/>
      <c r="K89" s="916"/>
      <c r="L89" s="916"/>
    </row>
    <row r="90" spans="1:13" ht="21.75" customHeight="1" x14ac:dyDescent="0.25">
      <c r="A90" s="72"/>
      <c r="B90" s="33" t="s">
        <v>120</v>
      </c>
      <c r="C90" s="928" t="s">
        <v>192</v>
      </c>
      <c r="D90" s="928"/>
      <c r="E90" s="928"/>
      <c r="F90" s="928"/>
      <c r="G90" s="928"/>
      <c r="H90" s="928"/>
      <c r="I90" s="928"/>
      <c r="J90" s="928"/>
      <c r="K90" s="2"/>
      <c r="L90" s="83"/>
    </row>
    <row r="91" spans="1:13" ht="21.75" customHeight="1" x14ac:dyDescent="0.25">
      <c r="A91" s="72"/>
      <c r="B91" s="33"/>
      <c r="C91" s="928" t="s">
        <v>193</v>
      </c>
      <c r="D91" s="928"/>
      <c r="E91" s="928"/>
      <c r="F91" s="928"/>
      <c r="G91" s="928"/>
      <c r="H91" s="928"/>
      <c r="I91" s="928"/>
      <c r="J91" s="928"/>
      <c r="K91" s="2"/>
      <c r="L91" s="83"/>
    </row>
    <row r="92" spans="1:13" ht="21.75" customHeight="1" x14ac:dyDescent="0.25">
      <c r="A92" s="72"/>
      <c r="B92" s="33"/>
      <c r="C92" s="928" t="s">
        <v>162</v>
      </c>
      <c r="D92" s="928"/>
      <c r="E92" s="928"/>
      <c r="F92" s="928"/>
      <c r="G92" s="928"/>
      <c r="H92" s="928"/>
      <c r="I92" s="928"/>
      <c r="J92" s="928"/>
      <c r="K92" s="2"/>
      <c r="L92" s="83"/>
    </row>
    <row r="93" spans="1:13" ht="21.75" customHeight="1" x14ac:dyDescent="0.25">
      <c r="A93" s="72"/>
      <c r="B93" s="915"/>
      <c r="C93" s="915"/>
      <c r="D93" s="915"/>
      <c r="E93" s="915"/>
      <c r="F93" s="915"/>
      <c r="G93" s="915"/>
      <c r="H93" s="915"/>
      <c r="I93" s="915"/>
      <c r="J93" s="915"/>
      <c r="K93" s="915"/>
      <c r="L93" s="915"/>
    </row>
    <row r="94" spans="1:13" ht="21.75" customHeight="1" x14ac:dyDescent="0.25">
      <c r="A94" s="72"/>
      <c r="B94" s="916" t="s">
        <v>194</v>
      </c>
      <c r="C94" s="916"/>
      <c r="D94" s="916"/>
      <c r="E94" s="916"/>
      <c r="F94" s="916"/>
      <c r="G94" s="916"/>
      <c r="H94" s="916"/>
      <c r="I94" s="916"/>
      <c r="J94" s="916"/>
      <c r="K94" s="916"/>
      <c r="L94" s="916"/>
    </row>
    <row r="95" spans="1:13" ht="21.75" customHeight="1" x14ac:dyDescent="0.25">
      <c r="A95" s="72"/>
      <c r="B95" s="33" t="s">
        <v>195</v>
      </c>
      <c r="C95" s="931" t="s">
        <v>196</v>
      </c>
      <c r="D95" s="931"/>
      <c r="E95" s="931"/>
      <c r="F95" s="931"/>
      <c r="G95" s="931"/>
      <c r="H95" s="931"/>
      <c r="I95" s="931"/>
      <c r="J95" s="931"/>
      <c r="K95" s="2"/>
      <c r="L95" s="83">
        <f>L87</f>
        <v>2.28461376</v>
      </c>
      <c r="M95" s="145">
        <f>M87</f>
        <v>2.8557671999999998</v>
      </c>
    </row>
    <row r="96" spans="1:13" ht="21.75" customHeight="1" x14ac:dyDescent="0.25">
      <c r="A96" s="72"/>
      <c r="B96" s="33" t="s">
        <v>197</v>
      </c>
      <c r="C96" s="931" t="s">
        <v>198</v>
      </c>
      <c r="D96" s="931"/>
      <c r="E96" s="931"/>
      <c r="F96" s="931"/>
      <c r="G96" s="931"/>
      <c r="H96" s="931"/>
      <c r="I96" s="931"/>
      <c r="J96" s="931"/>
      <c r="K96" s="2"/>
      <c r="L96" s="83">
        <f>L92</f>
        <v>0</v>
      </c>
      <c r="M96" s="157">
        <f>M92</f>
        <v>0</v>
      </c>
    </row>
    <row r="97" spans="1:13" ht="21.75" customHeight="1" x14ac:dyDescent="0.25">
      <c r="A97" s="72"/>
      <c r="B97" s="33"/>
      <c r="C97" s="928" t="s">
        <v>162</v>
      </c>
      <c r="D97" s="928"/>
      <c r="E97" s="928"/>
      <c r="F97" s="928"/>
      <c r="G97" s="928"/>
      <c r="H97" s="928"/>
      <c r="I97" s="928"/>
      <c r="J97" s="928"/>
      <c r="K97" s="2"/>
      <c r="L97" s="83">
        <f>L95+L96</f>
        <v>2.28461376</v>
      </c>
      <c r="M97" s="145">
        <f>SUM(M95:M96)</f>
        <v>2.8557671999999998</v>
      </c>
    </row>
    <row r="98" spans="1:13" ht="21.75" customHeight="1" x14ac:dyDescent="0.25">
      <c r="A98" s="72"/>
      <c r="B98" s="932"/>
      <c r="C98" s="932"/>
      <c r="D98" s="932"/>
      <c r="E98" s="932"/>
      <c r="F98" s="932"/>
      <c r="G98" s="932"/>
      <c r="H98" s="932"/>
      <c r="I98" s="932"/>
      <c r="J98" s="932"/>
      <c r="K98" s="932"/>
      <c r="L98" s="932"/>
    </row>
    <row r="99" spans="1:13" ht="21.75" customHeight="1" x14ac:dyDescent="0.25">
      <c r="A99" s="20"/>
      <c r="B99" s="933" t="s">
        <v>199</v>
      </c>
      <c r="C99" s="933"/>
      <c r="D99" s="933"/>
      <c r="E99" s="933"/>
      <c r="F99" s="933"/>
      <c r="G99" s="85"/>
      <c r="H99" s="85"/>
      <c r="I99" s="85"/>
      <c r="J99" s="85"/>
      <c r="K99" s="85"/>
      <c r="L99" s="86" t="s">
        <v>200</v>
      </c>
    </row>
    <row r="100" spans="1:13" ht="21.75" customHeight="1" x14ac:dyDescent="0.25">
      <c r="A100" s="20"/>
      <c r="B100" s="33" t="s">
        <v>120</v>
      </c>
      <c r="C100" s="926" t="s">
        <v>201</v>
      </c>
      <c r="D100" s="926"/>
      <c r="E100" s="926"/>
      <c r="F100" s="926"/>
      <c r="G100" s="926"/>
      <c r="H100" s="926"/>
      <c r="I100" s="926"/>
      <c r="J100" s="926"/>
      <c r="K100" s="926"/>
      <c r="L100" s="34">
        <v>0</v>
      </c>
    </row>
    <row r="101" spans="1:13" ht="21.75" customHeight="1" x14ac:dyDescent="0.25">
      <c r="A101" s="20"/>
      <c r="B101" s="33" t="s">
        <v>122</v>
      </c>
      <c r="C101" s="922" t="s">
        <v>277</v>
      </c>
      <c r="D101" s="922"/>
      <c r="E101" s="922"/>
      <c r="F101" s="922"/>
      <c r="G101" s="922"/>
      <c r="H101" s="922"/>
      <c r="I101" s="922"/>
      <c r="J101" s="922"/>
      <c r="K101" s="922"/>
      <c r="L101" s="34">
        <v>0</v>
      </c>
    </row>
    <row r="102" spans="1:13" ht="21.75" customHeight="1" x14ac:dyDescent="0.25">
      <c r="A102" s="20"/>
      <c r="B102" s="912" t="s">
        <v>125</v>
      </c>
      <c r="C102" s="934" t="s">
        <v>136</v>
      </c>
      <c r="D102" s="934"/>
      <c r="E102" s="935" t="s">
        <v>203</v>
      </c>
      <c r="F102" s="935"/>
      <c r="G102" s="935"/>
      <c r="H102" s="935"/>
      <c r="I102" s="935"/>
      <c r="J102" s="935"/>
      <c r="K102" s="935"/>
      <c r="L102" s="34">
        <f>K102*L29</f>
        <v>0</v>
      </c>
    </row>
    <row r="103" spans="1:13" ht="21.75" customHeight="1" x14ac:dyDescent="0.25">
      <c r="A103" s="20"/>
      <c r="B103" s="912"/>
      <c r="C103" s="934"/>
      <c r="D103" s="934"/>
      <c r="E103" s="936" t="s">
        <v>203</v>
      </c>
      <c r="F103" s="936"/>
      <c r="G103" s="936"/>
      <c r="H103" s="936"/>
      <c r="I103" s="936"/>
      <c r="J103" s="936"/>
      <c r="K103" s="936"/>
      <c r="L103" s="34">
        <f>K103*L29</f>
        <v>0</v>
      </c>
    </row>
    <row r="104" spans="1:13" s="73" customFormat="1" ht="21.75" customHeight="1" x14ac:dyDescent="0.25">
      <c r="A104" s="72"/>
      <c r="B104" s="87" t="s">
        <v>204</v>
      </c>
      <c r="C104" s="24"/>
      <c r="D104" s="24"/>
      <c r="E104" s="24"/>
      <c r="F104" s="24"/>
      <c r="G104" s="24"/>
      <c r="H104" s="24"/>
      <c r="I104" s="24"/>
      <c r="J104" s="24"/>
      <c r="K104" s="24"/>
      <c r="L104" s="88">
        <f>SUM(L100:L103)</f>
        <v>0</v>
      </c>
    </row>
    <row r="105" spans="1:13" s="73" customFormat="1" ht="21.75" customHeight="1" x14ac:dyDescent="0.25">
      <c r="A105" s="72"/>
      <c r="B105" s="87"/>
      <c r="C105" s="24"/>
      <c r="D105" s="24"/>
      <c r="E105" s="24"/>
      <c r="F105" s="24"/>
      <c r="G105" s="24"/>
      <c r="H105" s="24"/>
      <c r="I105" s="24"/>
      <c r="J105" s="24"/>
      <c r="K105" s="24"/>
      <c r="L105" s="88"/>
    </row>
    <row r="106" spans="1:13" ht="21.75" customHeight="1" x14ac:dyDescent="0.25">
      <c r="A106" s="72"/>
      <c r="B106" s="937" t="s">
        <v>205</v>
      </c>
      <c r="C106" s="937"/>
      <c r="D106" s="937"/>
      <c r="E106" s="937"/>
      <c r="F106" s="937"/>
      <c r="G106" s="937"/>
      <c r="H106" s="937"/>
      <c r="I106" s="937"/>
      <c r="J106" s="937"/>
      <c r="K106" s="937"/>
      <c r="L106" s="937"/>
    </row>
    <row r="107" spans="1:13" ht="21.75" customHeight="1" x14ac:dyDescent="0.25">
      <c r="A107" s="72"/>
      <c r="B107" s="938" t="s">
        <v>206</v>
      </c>
      <c r="C107" s="938"/>
      <c r="D107" s="938"/>
      <c r="E107" s="938"/>
      <c r="F107" s="938"/>
      <c r="G107" s="938"/>
      <c r="H107" s="938"/>
      <c r="I107" s="938"/>
      <c r="J107" s="938"/>
      <c r="K107" s="938"/>
      <c r="L107" s="86" t="s">
        <v>200</v>
      </c>
    </row>
    <row r="108" spans="1:13" ht="21.75" customHeight="1" x14ac:dyDescent="0.25">
      <c r="A108" s="72"/>
      <c r="B108" s="89" t="s">
        <v>120</v>
      </c>
      <c r="C108" s="939" t="s">
        <v>119</v>
      </c>
      <c r="D108" s="939"/>
      <c r="E108" s="939"/>
      <c r="F108" s="939"/>
      <c r="G108" s="939"/>
      <c r="H108" s="939"/>
      <c r="I108" s="939"/>
      <c r="J108" s="939"/>
      <c r="K108" s="939"/>
      <c r="L108" s="34">
        <f>L29</f>
        <v>18.881105454545455</v>
      </c>
      <c r="M108" s="145">
        <f>M29</f>
        <v>23.601381818181817</v>
      </c>
    </row>
    <row r="109" spans="1:13" ht="21.75" customHeight="1" x14ac:dyDescent="0.25">
      <c r="A109" s="72"/>
      <c r="B109" s="89" t="s">
        <v>122</v>
      </c>
      <c r="C109" s="939" t="s">
        <v>207</v>
      </c>
      <c r="D109" s="939"/>
      <c r="E109" s="939"/>
      <c r="F109" s="939"/>
      <c r="G109" s="939"/>
      <c r="H109" s="939"/>
      <c r="I109" s="939"/>
      <c r="J109" s="939"/>
      <c r="K109" s="939"/>
      <c r="L109" s="34">
        <f>L65</f>
        <v>12.225183474362185</v>
      </c>
      <c r="M109" s="145">
        <f>M65</f>
        <v>15.281479342952728</v>
      </c>
    </row>
    <row r="110" spans="1:13" ht="21.75" customHeight="1" x14ac:dyDescent="0.25">
      <c r="A110" s="72"/>
      <c r="B110" s="89" t="s">
        <v>125</v>
      </c>
      <c r="C110" s="90" t="s">
        <v>170</v>
      </c>
      <c r="D110" s="22"/>
      <c r="E110" s="22"/>
      <c r="F110" s="22"/>
      <c r="G110" s="22"/>
      <c r="H110" s="22"/>
      <c r="I110" s="22"/>
      <c r="J110" s="22"/>
      <c r="K110" s="22"/>
      <c r="L110" s="34">
        <f>L75</f>
        <v>1.9343314916072731</v>
      </c>
      <c r="M110" s="145">
        <f>M75</f>
        <v>2.417914364509091</v>
      </c>
    </row>
    <row r="111" spans="1:13" ht="21.75" customHeight="1" x14ac:dyDescent="0.25">
      <c r="A111" s="72"/>
      <c r="B111" s="89" t="s">
        <v>130</v>
      </c>
      <c r="C111" s="90" t="s">
        <v>180</v>
      </c>
      <c r="D111" s="22"/>
      <c r="E111" s="22"/>
      <c r="F111" s="22"/>
      <c r="G111" s="22"/>
      <c r="H111" s="22"/>
      <c r="I111" s="22"/>
      <c r="J111" s="22"/>
      <c r="K111" s="22"/>
      <c r="L111" s="34">
        <f>L97</f>
        <v>2.28461376</v>
      </c>
      <c r="M111" s="145">
        <f>M97</f>
        <v>2.8557671999999998</v>
      </c>
    </row>
    <row r="112" spans="1:13" ht="21.75" customHeight="1" x14ac:dyDescent="0.25">
      <c r="A112" s="72"/>
      <c r="B112" s="89" t="s">
        <v>132</v>
      </c>
      <c r="C112" s="90" t="s">
        <v>208</v>
      </c>
      <c r="D112" s="22"/>
      <c r="E112" s="22"/>
      <c r="F112" s="22"/>
      <c r="G112" s="22"/>
      <c r="H112" s="22"/>
      <c r="I112" s="22"/>
      <c r="J112" s="20"/>
      <c r="K112" s="20"/>
      <c r="L112" s="34">
        <f>L104</f>
        <v>0</v>
      </c>
      <c r="M112" s="145">
        <f>M104</f>
        <v>0</v>
      </c>
    </row>
    <row r="113" spans="1:13" ht="21.75" customHeight="1" x14ac:dyDescent="0.25">
      <c r="A113" s="20"/>
      <c r="B113" s="938" t="s">
        <v>209</v>
      </c>
      <c r="C113" s="938"/>
      <c r="D113" s="938"/>
      <c r="E113" s="938"/>
      <c r="F113" s="938"/>
      <c r="G113" s="938"/>
      <c r="H113" s="938"/>
      <c r="I113" s="938"/>
      <c r="J113" s="938"/>
      <c r="K113" s="938"/>
      <c r="L113" s="88">
        <f>SUM(L108:L112)</f>
        <v>35.325234180514911</v>
      </c>
      <c r="M113" s="145">
        <f>SUM(M108:M112)</f>
        <v>44.156542725643632</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150"/>
      <c r="J116" s="150"/>
      <c r="K116" s="60">
        <f>'DADOS INICIAIS'!H91</f>
        <v>0.06</v>
      </c>
      <c r="L116" s="34">
        <f>L113*K116</f>
        <v>2.1195140508308947</v>
      </c>
      <c r="M116" s="34">
        <f>M113*K116</f>
        <v>2.6493925635386177</v>
      </c>
    </row>
    <row r="117" spans="1:13" ht="21.75" customHeight="1" x14ac:dyDescent="0.25">
      <c r="A117" s="20"/>
      <c r="B117" s="89" t="s">
        <v>122</v>
      </c>
      <c r="C117" s="22" t="s">
        <v>212</v>
      </c>
      <c r="D117" s="22"/>
      <c r="E117" s="22"/>
      <c r="F117" s="22"/>
      <c r="G117" s="22"/>
      <c r="H117" s="22"/>
      <c r="I117" s="150"/>
      <c r="J117" s="151"/>
      <c r="K117" s="60">
        <f>'DADOS INICIAIS'!H92</f>
        <v>6.7900000000000002E-2</v>
      </c>
      <c r="L117" s="34">
        <f>(L113+L116)*K117</f>
        <v>2.5424984049083803</v>
      </c>
      <c r="M117" s="34">
        <f>(M113+M116)*K117</f>
        <v>3.178123006135475</v>
      </c>
    </row>
    <row r="118" spans="1:13" ht="21.75" customHeight="1" x14ac:dyDescent="0.25">
      <c r="A118" s="20"/>
      <c r="B118" s="941" t="s">
        <v>125</v>
      </c>
      <c r="C118" s="22" t="s">
        <v>213</v>
      </c>
      <c r="D118" s="22"/>
      <c r="E118" s="22"/>
      <c r="F118" s="22"/>
      <c r="G118" s="22"/>
      <c r="H118" s="22"/>
      <c r="I118" s="150"/>
      <c r="J118" s="152" t="s">
        <v>60</v>
      </c>
      <c r="K118" s="942">
        <f>SUM(J119:J121)</f>
        <v>9.6500000000000002E-2</v>
      </c>
      <c r="L118" s="943">
        <f>K118*L124</f>
        <v>4.270912341337608</v>
      </c>
      <c r="M118" s="943">
        <f>K118*M124</f>
        <v>5.3386404266720096</v>
      </c>
    </row>
    <row r="119" spans="1:13" ht="21.75" customHeight="1" x14ac:dyDescent="0.25">
      <c r="A119" s="20"/>
      <c r="B119" s="941"/>
      <c r="C119" s="37"/>
      <c r="D119" s="944" t="s">
        <v>214</v>
      </c>
      <c r="E119" s="944"/>
      <c r="F119" s="944"/>
      <c r="G119" s="93" t="s">
        <v>215</v>
      </c>
      <c r="H119" s="94"/>
      <c r="I119" s="154"/>
      <c r="J119" s="153">
        <f>'DADOS INICIAIS'!H96</f>
        <v>1.6500000000000001E-2</v>
      </c>
      <c r="K119" s="942"/>
      <c r="L119" s="943"/>
      <c r="M119" s="943"/>
    </row>
    <row r="120" spans="1:13" ht="21.75" customHeight="1" x14ac:dyDescent="0.25">
      <c r="A120" s="20"/>
      <c r="B120" s="941"/>
      <c r="C120" s="20"/>
      <c r="D120" s="20"/>
      <c r="E120" s="20"/>
      <c r="F120" s="20"/>
      <c r="G120" s="93" t="s">
        <v>216</v>
      </c>
      <c r="H120" s="94"/>
      <c r="I120" s="154"/>
      <c r="J120" s="153">
        <f>'DADOS INICIAIS'!H97</f>
        <v>0.03</v>
      </c>
      <c r="K120" s="942"/>
      <c r="L120" s="943"/>
      <c r="M120" s="943"/>
    </row>
    <row r="121" spans="1:13" ht="21.75" customHeight="1" x14ac:dyDescent="0.25">
      <c r="A121" s="20"/>
      <c r="B121" s="941"/>
      <c r="C121" s="20"/>
      <c r="D121" s="944" t="s">
        <v>217</v>
      </c>
      <c r="E121" s="944"/>
      <c r="F121" s="944"/>
      <c r="G121" s="93" t="s">
        <v>218</v>
      </c>
      <c r="H121" s="94"/>
      <c r="I121" s="154"/>
      <c r="J121" s="153">
        <f>'DADOS INICIAIS'!H98</f>
        <v>0.05</v>
      </c>
      <c r="K121" s="942"/>
      <c r="L121" s="943"/>
      <c r="M121" s="943"/>
    </row>
    <row r="122" spans="1:13" s="73" customFormat="1" ht="21.75" customHeight="1" x14ac:dyDescent="0.25">
      <c r="A122" s="72"/>
      <c r="B122" s="21" t="s">
        <v>219</v>
      </c>
      <c r="C122" s="24"/>
      <c r="D122" s="24"/>
      <c r="E122" s="24"/>
      <c r="F122" s="24"/>
      <c r="G122" s="24"/>
      <c r="H122" s="24"/>
      <c r="I122" s="24"/>
      <c r="J122" s="97"/>
      <c r="K122" s="97"/>
      <c r="L122" s="88">
        <f>SUM(L116:L121)</f>
        <v>8.9329247970768826</v>
      </c>
      <c r="M122" s="145">
        <f>SUM(M116:M121)</f>
        <v>11.166155996346102</v>
      </c>
    </row>
    <row r="123" spans="1:13" ht="9.75" customHeight="1" x14ac:dyDescent="0.25">
      <c r="A123" s="20"/>
      <c r="B123" s="27"/>
      <c r="C123" s="20"/>
      <c r="D123" s="20"/>
      <c r="E123" s="20"/>
      <c r="F123" s="20"/>
      <c r="G123" s="20"/>
      <c r="H123" s="20"/>
      <c r="I123" s="20"/>
      <c r="J123" s="20"/>
      <c r="K123" s="20"/>
      <c r="L123" s="28"/>
    </row>
    <row r="124" spans="1:13" ht="21.75" customHeight="1" x14ac:dyDescent="0.25">
      <c r="A124" s="20"/>
      <c r="B124" s="945" t="s">
        <v>278</v>
      </c>
      <c r="C124" s="945"/>
      <c r="D124" s="945"/>
      <c r="E124" s="945"/>
      <c r="F124" s="945"/>
      <c r="G124" s="945"/>
      <c r="H124" s="945"/>
      <c r="I124" s="99"/>
      <c r="J124" s="99"/>
      <c r="K124" s="99"/>
      <c r="L124" s="100">
        <f>(L113+L116+L117)/(1-K118)</f>
        <v>44.258158977591791</v>
      </c>
      <c r="M124" s="155">
        <f>(M113+M116+M117)/(1-K118)</f>
        <v>55.322698721989731</v>
      </c>
    </row>
    <row r="125" spans="1:13" ht="10.5" customHeight="1" x14ac:dyDescent="0.25">
      <c r="A125" s="20"/>
      <c r="B125" s="27"/>
      <c r="C125" s="20"/>
      <c r="D125" s="20"/>
      <c r="E125" s="20"/>
      <c r="F125" s="20"/>
      <c r="G125" s="20"/>
      <c r="H125" s="20"/>
      <c r="I125" s="20"/>
      <c r="J125" s="20"/>
      <c r="K125" s="20"/>
      <c r="L125" s="28"/>
    </row>
    <row r="126" spans="1:13" ht="21.75" customHeight="1" x14ac:dyDescent="0.25">
      <c r="A126" s="20"/>
      <c r="B126" s="946" t="s">
        <v>287</v>
      </c>
      <c r="C126" s="946"/>
      <c r="D126" s="946"/>
      <c r="E126" s="946"/>
      <c r="F126" s="946"/>
      <c r="G126" s="946"/>
      <c r="H126" s="946"/>
      <c r="I126" s="946"/>
      <c r="J126" s="946"/>
      <c r="K126" s="946"/>
      <c r="L126" s="946"/>
    </row>
    <row r="127" spans="1:13" ht="57" customHeight="1" x14ac:dyDescent="0.25">
      <c r="A127" s="20"/>
      <c r="B127" s="947" t="s">
        <v>223</v>
      </c>
      <c r="C127" s="947"/>
      <c r="D127" s="947"/>
      <c r="E127" s="948" t="s">
        <v>280</v>
      </c>
      <c r="F127" s="948"/>
      <c r="G127" s="948" t="s">
        <v>225</v>
      </c>
      <c r="H127" s="948"/>
      <c r="I127" s="948" t="s">
        <v>226</v>
      </c>
      <c r="J127" s="948"/>
      <c r="K127" s="156" t="s">
        <v>281</v>
      </c>
      <c r="L127" s="103" t="s">
        <v>282</v>
      </c>
    </row>
    <row r="128" spans="1:13" ht="21.75" customHeight="1" x14ac:dyDescent="0.25">
      <c r="A128" s="20"/>
      <c r="B128" s="950" t="str">
        <f>L26</f>
        <v>Auxiliar Manutenção</v>
      </c>
      <c r="C128" s="950"/>
      <c r="D128" s="950"/>
      <c r="E128" s="951">
        <f>L124</f>
        <v>44.258158977591791</v>
      </c>
      <c r="F128" s="951"/>
      <c r="G128" s="952">
        <v>1</v>
      </c>
      <c r="H128" s="952"/>
      <c r="I128" s="951">
        <f>G128*E128</f>
        <v>44.258158977591791</v>
      </c>
      <c r="J128" s="951"/>
      <c r="K128" s="104">
        <v>10</v>
      </c>
      <c r="L128" s="105">
        <f>ROUND(K128*I128,2)</f>
        <v>442.58</v>
      </c>
    </row>
    <row r="129" spans="1:12" ht="21.75" customHeight="1" x14ac:dyDescent="0.25">
      <c r="A129" s="20"/>
      <c r="B129" s="950" t="str">
        <f>B128</f>
        <v>Auxiliar Manutenção</v>
      </c>
      <c r="C129" s="950"/>
      <c r="D129" s="950"/>
      <c r="E129" s="951">
        <f>M124</f>
        <v>55.322698721989731</v>
      </c>
      <c r="F129" s="951"/>
      <c r="G129" s="952">
        <v>1</v>
      </c>
      <c r="H129" s="952"/>
      <c r="I129" s="951">
        <f>E129</f>
        <v>55.322698721989731</v>
      </c>
      <c r="J129" s="951"/>
      <c r="K129" s="104">
        <v>6</v>
      </c>
      <c r="L129" s="105">
        <f>ROUND(K129*I129,2)</f>
        <v>331.94</v>
      </c>
    </row>
    <row r="130" spans="1:12" ht="21.75" customHeight="1" x14ac:dyDescent="0.25">
      <c r="A130" s="20"/>
      <c r="B130" s="949" t="s">
        <v>283</v>
      </c>
      <c r="C130" s="949"/>
      <c r="D130" s="949"/>
      <c r="E130" s="949"/>
      <c r="F130" s="949"/>
      <c r="G130" s="949"/>
      <c r="H130" s="949"/>
      <c r="I130" s="949"/>
      <c r="J130" s="949"/>
      <c r="K130" s="949"/>
      <c r="L130" s="106">
        <f>SUM(L128:L129)</f>
        <v>774.52</v>
      </c>
    </row>
  </sheetData>
  <sheetProtection selectLockedCells="1" selectUnlockedCells="1"/>
  <mergeCells count="133">
    <mergeCell ref="B130:K130"/>
    <mergeCell ref="B128:D128"/>
    <mergeCell ref="E128:F128"/>
    <mergeCell ref="G128:H128"/>
    <mergeCell ref="I128:J128"/>
    <mergeCell ref="B129:D129"/>
    <mergeCell ref="E129:F129"/>
    <mergeCell ref="G129:H129"/>
    <mergeCell ref="I129:J129"/>
    <mergeCell ref="M118:M121"/>
    <mergeCell ref="D119:F119"/>
    <mergeCell ref="D121:F121"/>
    <mergeCell ref="B124:H124"/>
    <mergeCell ref="B126:L126"/>
    <mergeCell ref="B127:D127"/>
    <mergeCell ref="E127:F127"/>
    <mergeCell ref="G127:H127"/>
    <mergeCell ref="I127:J127"/>
    <mergeCell ref="B106:L106"/>
    <mergeCell ref="B107:K107"/>
    <mergeCell ref="C108:K108"/>
    <mergeCell ref="C109:K109"/>
    <mergeCell ref="B113:K113"/>
    <mergeCell ref="B114:L114"/>
    <mergeCell ref="B115:K115"/>
    <mergeCell ref="B118:B121"/>
    <mergeCell ref="K118:K121"/>
    <mergeCell ref="L118:L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3"/>
  </sheetPr>
  <dimension ref="A1:F78"/>
  <sheetViews>
    <sheetView showGridLines="0" workbookViewId="0">
      <selection activeCell="M118" sqref="M118"/>
    </sheetView>
  </sheetViews>
  <sheetFormatPr defaultColWidth="12.44140625" defaultRowHeight="13.2" x14ac:dyDescent="0.25"/>
  <cols>
    <col min="1" max="1" width="53.77734375" style="192" customWidth="1"/>
    <col min="2" max="2" width="10" style="192" customWidth="1"/>
    <col min="3" max="3" width="10.6640625" style="192" customWidth="1"/>
    <col min="4" max="4" width="10.33203125" style="192" customWidth="1"/>
    <col min="5" max="16384" width="12.44140625" style="192"/>
  </cols>
  <sheetData>
    <row r="1" spans="1:6" ht="36" customHeight="1" x14ac:dyDescent="0.25">
      <c r="A1" s="1006" t="s">
        <v>288</v>
      </c>
      <c r="B1" s="1006"/>
      <c r="C1" s="1006"/>
      <c r="D1" s="1006"/>
      <c r="E1" s="1006"/>
      <c r="F1" s="193"/>
    </row>
    <row r="2" spans="1:6" ht="36" customHeight="1" x14ac:dyDescent="0.25">
      <c r="A2" s="158" t="s">
        <v>289</v>
      </c>
      <c r="B2" s="158" t="s">
        <v>44</v>
      </c>
      <c r="C2" s="158" t="s">
        <v>290</v>
      </c>
      <c r="D2" s="158" t="s">
        <v>42</v>
      </c>
      <c r="E2" s="158" t="s">
        <v>448</v>
      </c>
      <c r="F2" s="194"/>
    </row>
    <row r="3" spans="1:6" x14ac:dyDescent="0.25">
      <c r="A3" s="195" t="s">
        <v>366</v>
      </c>
      <c r="B3" s="196">
        <v>1</v>
      </c>
      <c r="C3" s="197">
        <v>77.856666666666669</v>
      </c>
      <c r="D3" s="189">
        <v>60</v>
      </c>
      <c r="E3" s="198">
        <f t="shared" ref="E3:E63" si="0">ROUND(B3*C3/D3,2)</f>
        <v>1.3</v>
      </c>
      <c r="F3" s="199"/>
    </row>
    <row r="4" spans="1:6" x14ac:dyDescent="0.25">
      <c r="A4" s="195" t="s">
        <v>367</v>
      </c>
      <c r="B4" s="196">
        <v>1</v>
      </c>
      <c r="C4" s="197">
        <v>313.43</v>
      </c>
      <c r="D4" s="189">
        <v>60</v>
      </c>
      <c r="E4" s="198">
        <f t="shared" si="0"/>
        <v>5.22</v>
      </c>
      <c r="F4" s="199"/>
    </row>
    <row r="5" spans="1:6" x14ac:dyDescent="0.25">
      <c r="A5" s="195" t="s">
        <v>368</v>
      </c>
      <c r="B5" s="196">
        <v>1</v>
      </c>
      <c r="C5" s="197">
        <v>246.74666666666667</v>
      </c>
      <c r="D5" s="189">
        <v>60</v>
      </c>
      <c r="E5" s="198">
        <f t="shared" si="0"/>
        <v>4.1100000000000003</v>
      </c>
      <c r="F5" s="199"/>
    </row>
    <row r="6" spans="1:6" x14ac:dyDescent="0.25">
      <c r="A6" s="195" t="s">
        <v>369</v>
      </c>
      <c r="B6" s="196">
        <v>1</v>
      </c>
      <c r="C6" s="197">
        <v>141.34666666666666</v>
      </c>
      <c r="D6" s="189">
        <v>60</v>
      </c>
      <c r="E6" s="198">
        <f t="shared" si="0"/>
        <v>2.36</v>
      </c>
      <c r="F6" s="199"/>
    </row>
    <row r="7" spans="1:6" x14ac:dyDescent="0.25">
      <c r="A7" s="195" t="s">
        <v>370</v>
      </c>
      <c r="B7" s="196">
        <v>1</v>
      </c>
      <c r="C7" s="197">
        <v>93.206666666666663</v>
      </c>
      <c r="D7" s="189">
        <v>60</v>
      </c>
      <c r="E7" s="198">
        <f t="shared" si="0"/>
        <v>1.55</v>
      </c>
      <c r="F7" s="200"/>
    </row>
    <row r="8" spans="1:6" x14ac:dyDescent="0.25">
      <c r="A8" s="195" t="s">
        <v>371</v>
      </c>
      <c r="B8" s="196">
        <v>1</v>
      </c>
      <c r="C8" s="197">
        <v>101.81666666666668</v>
      </c>
      <c r="D8" s="189">
        <v>60</v>
      </c>
      <c r="E8" s="198">
        <f t="shared" si="0"/>
        <v>1.7</v>
      </c>
      <c r="F8" s="201"/>
    </row>
    <row r="9" spans="1:6" x14ac:dyDescent="0.25">
      <c r="A9" s="195" t="s">
        <v>372</v>
      </c>
      <c r="B9" s="196">
        <v>1</v>
      </c>
      <c r="C9" s="197">
        <v>42.966666666666669</v>
      </c>
      <c r="D9" s="189">
        <v>60</v>
      </c>
      <c r="E9" s="198">
        <f t="shared" si="0"/>
        <v>0.72</v>
      </c>
      <c r="F9" s="201"/>
    </row>
    <row r="10" spans="1:6" x14ac:dyDescent="0.25">
      <c r="A10" s="195" t="s">
        <v>373</v>
      </c>
      <c r="B10" s="196">
        <v>1</v>
      </c>
      <c r="C10" s="197">
        <v>78.486666666666665</v>
      </c>
      <c r="D10" s="189">
        <v>60</v>
      </c>
      <c r="E10" s="198">
        <f t="shared" si="0"/>
        <v>1.31</v>
      </c>
      <c r="F10" s="191"/>
    </row>
    <row r="11" spans="1:6" x14ac:dyDescent="0.25">
      <c r="A11" s="195" t="s">
        <v>374</v>
      </c>
      <c r="B11" s="196">
        <v>1</v>
      </c>
      <c r="C11" s="197">
        <v>37.533333333333339</v>
      </c>
      <c r="D11" s="189">
        <v>60</v>
      </c>
      <c r="E11" s="198">
        <f t="shared" si="0"/>
        <v>0.63</v>
      </c>
      <c r="F11" s="201"/>
    </row>
    <row r="12" spans="1:6" x14ac:dyDescent="0.25">
      <c r="A12" s="195" t="s">
        <v>375</v>
      </c>
      <c r="B12" s="196">
        <v>1</v>
      </c>
      <c r="C12" s="197">
        <v>25.323333333333334</v>
      </c>
      <c r="D12" s="189">
        <v>60</v>
      </c>
      <c r="E12" s="198">
        <f t="shared" si="0"/>
        <v>0.42</v>
      </c>
      <c r="F12" s="202"/>
    </row>
    <row r="13" spans="1:6" x14ac:dyDescent="0.25">
      <c r="A13" s="195" t="s">
        <v>376</v>
      </c>
      <c r="B13" s="196">
        <v>1</v>
      </c>
      <c r="C13" s="197">
        <v>135.87</v>
      </c>
      <c r="D13" s="189">
        <v>60</v>
      </c>
      <c r="E13" s="198">
        <f t="shared" si="0"/>
        <v>2.2599999999999998</v>
      </c>
      <c r="F13" s="203"/>
    </row>
    <row r="14" spans="1:6" x14ac:dyDescent="0.25">
      <c r="A14" s="195" t="s">
        <v>377</v>
      </c>
      <c r="B14" s="196">
        <v>1</v>
      </c>
      <c r="C14" s="197">
        <v>51.330000000000005</v>
      </c>
      <c r="D14" s="189">
        <v>60</v>
      </c>
      <c r="E14" s="198">
        <f t="shared" si="0"/>
        <v>0.86</v>
      </c>
      <c r="F14" s="203"/>
    </row>
    <row r="15" spans="1:6" x14ac:dyDescent="0.25">
      <c r="A15" s="195" t="s">
        <v>378</v>
      </c>
      <c r="B15" s="196">
        <v>1</v>
      </c>
      <c r="C15" s="197">
        <v>64.673333333333346</v>
      </c>
      <c r="D15" s="189">
        <v>60</v>
      </c>
      <c r="E15" s="198">
        <f t="shared" si="0"/>
        <v>1.08</v>
      </c>
      <c r="F15" s="203"/>
    </row>
    <row r="16" spans="1:6" x14ac:dyDescent="0.25">
      <c r="A16" s="195" t="s">
        <v>379</v>
      </c>
      <c r="B16" s="196">
        <v>1</v>
      </c>
      <c r="C16" s="197">
        <v>40.5</v>
      </c>
      <c r="D16" s="189">
        <v>60</v>
      </c>
      <c r="E16" s="198">
        <f t="shared" si="0"/>
        <v>0.68</v>
      </c>
      <c r="F16" s="203"/>
    </row>
    <row r="17" spans="1:6" x14ac:dyDescent="0.25">
      <c r="A17" s="195" t="s">
        <v>380</v>
      </c>
      <c r="B17" s="196">
        <v>1</v>
      </c>
      <c r="C17" s="197">
        <v>66.586666666666673</v>
      </c>
      <c r="D17" s="189">
        <v>60</v>
      </c>
      <c r="E17" s="198">
        <f t="shared" si="0"/>
        <v>1.1100000000000001</v>
      </c>
      <c r="F17" s="203"/>
    </row>
    <row r="18" spans="1:6" x14ac:dyDescent="0.25">
      <c r="A18" s="195" t="s">
        <v>381</v>
      </c>
      <c r="B18" s="196">
        <v>1</v>
      </c>
      <c r="C18" s="197">
        <v>45.256666666666661</v>
      </c>
      <c r="D18" s="189">
        <v>60</v>
      </c>
      <c r="E18" s="198">
        <f t="shared" si="0"/>
        <v>0.75</v>
      </c>
      <c r="F18" s="203"/>
    </row>
    <row r="19" spans="1:6" x14ac:dyDescent="0.25">
      <c r="A19" s="195" t="s">
        <v>382</v>
      </c>
      <c r="B19" s="196">
        <v>1</v>
      </c>
      <c r="C19" s="197">
        <v>121.44</v>
      </c>
      <c r="D19" s="189">
        <v>60</v>
      </c>
      <c r="E19" s="198">
        <f t="shared" si="0"/>
        <v>2.02</v>
      </c>
      <c r="F19" s="203"/>
    </row>
    <row r="20" spans="1:6" x14ac:dyDescent="0.25">
      <c r="A20" s="195" t="s">
        <v>383</v>
      </c>
      <c r="B20" s="196">
        <v>1</v>
      </c>
      <c r="C20" s="197">
        <v>70.899999999999991</v>
      </c>
      <c r="D20" s="189">
        <v>60</v>
      </c>
      <c r="E20" s="198">
        <f t="shared" si="0"/>
        <v>1.18</v>
      </c>
      <c r="F20" s="203"/>
    </row>
    <row r="21" spans="1:6" x14ac:dyDescent="0.25">
      <c r="A21" s="195" t="s">
        <v>384</v>
      </c>
      <c r="B21" s="196">
        <v>1</v>
      </c>
      <c r="C21" s="197">
        <v>91.333333333333329</v>
      </c>
      <c r="D21" s="189">
        <v>60</v>
      </c>
      <c r="E21" s="198">
        <f t="shared" si="0"/>
        <v>1.52</v>
      </c>
      <c r="F21" s="203"/>
    </row>
    <row r="22" spans="1:6" x14ac:dyDescent="0.25">
      <c r="A22" s="195" t="s">
        <v>385</v>
      </c>
      <c r="B22" s="196">
        <v>1</v>
      </c>
      <c r="C22" s="197">
        <v>33.406666666666666</v>
      </c>
      <c r="D22" s="189">
        <v>60</v>
      </c>
      <c r="E22" s="198">
        <f t="shared" si="0"/>
        <v>0.56000000000000005</v>
      </c>
      <c r="F22" s="203"/>
    </row>
    <row r="23" spans="1:6" x14ac:dyDescent="0.25">
      <c r="A23" s="195" t="s">
        <v>386</v>
      </c>
      <c r="B23" s="196">
        <v>1</v>
      </c>
      <c r="C23" s="197">
        <v>28.51</v>
      </c>
      <c r="D23" s="189">
        <v>60</v>
      </c>
      <c r="E23" s="198">
        <f t="shared" si="0"/>
        <v>0.48</v>
      </c>
      <c r="F23" s="204"/>
    </row>
    <row r="24" spans="1:6" x14ac:dyDescent="0.25">
      <c r="A24" s="195" t="s">
        <v>387</v>
      </c>
      <c r="B24" s="196">
        <v>1</v>
      </c>
      <c r="C24" s="197">
        <v>56.616666666666667</v>
      </c>
      <c r="D24" s="189">
        <v>60</v>
      </c>
      <c r="E24" s="198">
        <f t="shared" si="0"/>
        <v>0.94</v>
      </c>
      <c r="F24" s="191"/>
    </row>
    <row r="25" spans="1:6" x14ac:dyDescent="0.25">
      <c r="A25" s="195" t="s">
        <v>388</v>
      </c>
      <c r="B25" s="196">
        <v>1</v>
      </c>
      <c r="C25" s="197">
        <v>220.59666666666666</v>
      </c>
      <c r="D25" s="189">
        <v>60</v>
      </c>
      <c r="E25" s="198">
        <f t="shared" si="0"/>
        <v>3.68</v>
      </c>
    </row>
    <row r="26" spans="1:6" x14ac:dyDescent="0.25">
      <c r="A26" s="195" t="s">
        <v>389</v>
      </c>
      <c r="B26" s="196">
        <v>1</v>
      </c>
      <c r="C26" s="197">
        <v>291.20999999999998</v>
      </c>
      <c r="D26" s="189">
        <v>60</v>
      </c>
      <c r="E26" s="198">
        <f t="shared" si="0"/>
        <v>4.8499999999999996</v>
      </c>
    </row>
    <row r="27" spans="1:6" x14ac:dyDescent="0.25">
      <c r="A27" s="195" t="s">
        <v>390</v>
      </c>
      <c r="B27" s="196">
        <v>1</v>
      </c>
      <c r="C27" s="197">
        <v>64.84666666666665</v>
      </c>
      <c r="D27" s="189">
        <v>60</v>
      </c>
      <c r="E27" s="198">
        <f t="shared" si="0"/>
        <v>1.08</v>
      </c>
    </row>
    <row r="28" spans="1:6" x14ac:dyDescent="0.25">
      <c r="A28" s="195" t="s">
        <v>391</v>
      </c>
      <c r="B28" s="196">
        <v>2</v>
      </c>
      <c r="C28" s="197">
        <v>33.169999999999995</v>
      </c>
      <c r="D28" s="189">
        <v>60</v>
      </c>
      <c r="E28" s="198">
        <f t="shared" si="0"/>
        <v>1.1100000000000001</v>
      </c>
    </row>
    <row r="29" spans="1:6" x14ac:dyDescent="0.25">
      <c r="A29" s="195" t="s">
        <v>392</v>
      </c>
      <c r="B29" s="196">
        <v>1</v>
      </c>
      <c r="C29" s="197">
        <v>57.363333333333337</v>
      </c>
      <c r="D29" s="189">
        <v>60</v>
      </c>
      <c r="E29" s="198">
        <f t="shared" si="0"/>
        <v>0.96</v>
      </c>
    </row>
    <row r="30" spans="1:6" x14ac:dyDescent="0.25">
      <c r="A30" s="195" t="s">
        <v>393</v>
      </c>
      <c r="B30" s="196">
        <v>1</v>
      </c>
      <c r="C30" s="197">
        <v>123.19666666666667</v>
      </c>
      <c r="D30" s="189">
        <v>60</v>
      </c>
      <c r="E30" s="198">
        <f t="shared" si="0"/>
        <v>2.0499999999999998</v>
      </c>
    </row>
    <row r="31" spans="1:6" x14ac:dyDescent="0.25">
      <c r="A31" s="195" t="s">
        <v>394</v>
      </c>
      <c r="B31" s="196">
        <v>1</v>
      </c>
      <c r="C31" s="197">
        <v>40.35</v>
      </c>
      <c r="D31" s="189">
        <v>60</v>
      </c>
      <c r="E31" s="198">
        <f t="shared" si="0"/>
        <v>0.67</v>
      </c>
    </row>
    <row r="32" spans="1:6" x14ac:dyDescent="0.25">
      <c r="A32" s="195" t="s">
        <v>395</v>
      </c>
      <c r="B32" s="196">
        <v>1</v>
      </c>
      <c r="C32" s="197">
        <v>27.516666666666666</v>
      </c>
      <c r="D32" s="189">
        <v>60</v>
      </c>
      <c r="E32" s="198">
        <f t="shared" si="0"/>
        <v>0.46</v>
      </c>
    </row>
    <row r="33" spans="1:5" x14ac:dyDescent="0.25">
      <c r="A33" s="195" t="s">
        <v>396</v>
      </c>
      <c r="B33" s="196">
        <v>1</v>
      </c>
      <c r="C33" s="197">
        <v>48.786666666666669</v>
      </c>
      <c r="D33" s="189">
        <v>60</v>
      </c>
      <c r="E33" s="198">
        <f t="shared" si="0"/>
        <v>0.81</v>
      </c>
    </row>
    <row r="34" spans="1:5" x14ac:dyDescent="0.25">
      <c r="A34" s="195" t="s">
        <v>397</v>
      </c>
      <c r="B34" s="196">
        <v>2</v>
      </c>
      <c r="C34" s="197">
        <v>24.446666666666669</v>
      </c>
      <c r="D34" s="189">
        <v>60</v>
      </c>
      <c r="E34" s="198">
        <f t="shared" si="0"/>
        <v>0.81</v>
      </c>
    </row>
    <row r="35" spans="1:5" x14ac:dyDescent="0.25">
      <c r="A35" s="195" t="s">
        <v>398</v>
      </c>
      <c r="B35" s="196">
        <v>1</v>
      </c>
      <c r="C35" s="197">
        <v>36.116666666666667</v>
      </c>
      <c r="D35" s="189">
        <v>60</v>
      </c>
      <c r="E35" s="198">
        <f t="shared" si="0"/>
        <v>0.6</v>
      </c>
    </row>
    <row r="36" spans="1:5" x14ac:dyDescent="0.25">
      <c r="A36" s="195" t="s">
        <v>399</v>
      </c>
      <c r="B36" s="196">
        <v>1</v>
      </c>
      <c r="C36" s="197">
        <v>29.159999999999997</v>
      </c>
      <c r="D36" s="189">
        <v>60</v>
      </c>
      <c r="E36" s="198">
        <f t="shared" si="0"/>
        <v>0.49</v>
      </c>
    </row>
    <row r="37" spans="1:5" x14ac:dyDescent="0.25">
      <c r="A37" s="195" t="s">
        <v>400</v>
      </c>
      <c r="B37" s="196">
        <v>1</v>
      </c>
      <c r="C37" s="197">
        <v>95.016666666666666</v>
      </c>
      <c r="D37" s="189">
        <v>60</v>
      </c>
      <c r="E37" s="198">
        <f t="shared" si="0"/>
        <v>1.58</v>
      </c>
    </row>
    <row r="38" spans="1:5" x14ac:dyDescent="0.25">
      <c r="A38" s="195" t="s">
        <v>401</v>
      </c>
      <c r="B38" s="196">
        <v>1</v>
      </c>
      <c r="C38" s="197">
        <v>327.43666666666667</v>
      </c>
      <c r="D38" s="189">
        <v>60</v>
      </c>
      <c r="E38" s="198">
        <f t="shared" si="0"/>
        <v>5.46</v>
      </c>
    </row>
    <row r="39" spans="1:5" x14ac:dyDescent="0.25">
      <c r="A39" s="195" t="s">
        <v>402</v>
      </c>
      <c r="B39" s="196">
        <v>1</v>
      </c>
      <c r="C39" s="197">
        <v>784.15</v>
      </c>
      <c r="D39" s="189">
        <v>60</v>
      </c>
      <c r="E39" s="198">
        <f t="shared" si="0"/>
        <v>13.07</v>
      </c>
    </row>
    <row r="40" spans="1:5" x14ac:dyDescent="0.25">
      <c r="A40" s="195" t="s">
        <v>403</v>
      </c>
      <c r="B40" s="196">
        <v>1</v>
      </c>
      <c r="C40" s="197">
        <v>37.01</v>
      </c>
      <c r="D40" s="189">
        <v>60</v>
      </c>
      <c r="E40" s="198">
        <f t="shared" si="0"/>
        <v>0.62</v>
      </c>
    </row>
    <row r="41" spans="1:5" x14ac:dyDescent="0.25">
      <c r="A41" s="195" t="s">
        <v>404</v>
      </c>
      <c r="B41" s="196">
        <v>1</v>
      </c>
      <c r="C41" s="197">
        <v>136.06</v>
      </c>
      <c r="D41" s="189">
        <v>60</v>
      </c>
      <c r="E41" s="198">
        <f t="shared" si="0"/>
        <v>2.27</v>
      </c>
    </row>
    <row r="42" spans="1:5" x14ac:dyDescent="0.25">
      <c r="A42" s="195" t="s">
        <v>405</v>
      </c>
      <c r="B42" s="196">
        <v>1</v>
      </c>
      <c r="C42" s="197">
        <v>80.933333333333323</v>
      </c>
      <c r="D42" s="189">
        <v>60</v>
      </c>
      <c r="E42" s="198">
        <f t="shared" si="0"/>
        <v>1.35</v>
      </c>
    </row>
    <row r="43" spans="1:5" x14ac:dyDescent="0.25">
      <c r="A43" s="195" t="s">
        <v>406</v>
      </c>
      <c r="B43" s="196">
        <v>2</v>
      </c>
      <c r="C43" s="197">
        <v>64.416666666666671</v>
      </c>
      <c r="D43" s="189">
        <v>60</v>
      </c>
      <c r="E43" s="198">
        <f t="shared" si="0"/>
        <v>2.15</v>
      </c>
    </row>
    <row r="44" spans="1:5" x14ac:dyDescent="0.25">
      <c r="A44" s="195" t="s">
        <v>407</v>
      </c>
      <c r="B44" s="196">
        <v>1</v>
      </c>
      <c r="C44" s="197">
        <v>44.389999999999993</v>
      </c>
      <c r="D44" s="189">
        <v>60</v>
      </c>
      <c r="E44" s="198">
        <f t="shared" si="0"/>
        <v>0.74</v>
      </c>
    </row>
    <row r="45" spans="1:5" x14ac:dyDescent="0.25">
      <c r="A45" s="195" t="s">
        <v>408</v>
      </c>
      <c r="B45" s="196">
        <v>1</v>
      </c>
      <c r="C45" s="197">
        <v>139.28666666666666</v>
      </c>
      <c r="D45" s="189">
        <v>60</v>
      </c>
      <c r="E45" s="198">
        <f t="shared" si="0"/>
        <v>2.3199999999999998</v>
      </c>
    </row>
    <row r="46" spans="1:5" x14ac:dyDescent="0.25">
      <c r="A46" s="195" t="s">
        <v>409</v>
      </c>
      <c r="B46" s="196">
        <v>1</v>
      </c>
      <c r="C46" s="197">
        <v>152.59333333333333</v>
      </c>
      <c r="D46" s="189">
        <v>60</v>
      </c>
      <c r="E46" s="198">
        <f t="shared" si="0"/>
        <v>2.54</v>
      </c>
    </row>
    <row r="47" spans="1:5" x14ac:dyDescent="0.25">
      <c r="A47" s="195" t="s">
        <v>410</v>
      </c>
      <c r="B47" s="196">
        <v>1</v>
      </c>
      <c r="C47" s="197">
        <v>29.756666666666664</v>
      </c>
      <c r="D47" s="189">
        <v>60</v>
      </c>
      <c r="E47" s="198">
        <f t="shared" si="0"/>
        <v>0.5</v>
      </c>
    </row>
    <row r="48" spans="1:5" x14ac:dyDescent="0.25">
      <c r="A48" s="195" t="s">
        <v>411</v>
      </c>
      <c r="B48" s="196">
        <v>1</v>
      </c>
      <c r="C48" s="197">
        <v>19.78</v>
      </c>
      <c r="D48" s="189">
        <v>60</v>
      </c>
      <c r="E48" s="198">
        <f t="shared" si="0"/>
        <v>0.33</v>
      </c>
    </row>
    <row r="49" spans="1:6" x14ac:dyDescent="0.25">
      <c r="A49" s="195" t="s">
        <v>412</v>
      </c>
      <c r="B49" s="196">
        <v>1</v>
      </c>
      <c r="C49" s="197">
        <v>692.44999999999993</v>
      </c>
      <c r="D49" s="189">
        <v>60</v>
      </c>
      <c r="E49" s="198">
        <f t="shared" si="0"/>
        <v>11.54</v>
      </c>
    </row>
    <row r="50" spans="1:6" x14ac:dyDescent="0.25">
      <c r="A50" s="195" t="s">
        <v>413</v>
      </c>
      <c r="B50" s="196">
        <v>5</v>
      </c>
      <c r="C50" s="205">
        <v>22.16333333333333</v>
      </c>
      <c r="D50" s="206">
        <v>60</v>
      </c>
      <c r="E50" s="198">
        <f t="shared" si="0"/>
        <v>1.85</v>
      </c>
    </row>
    <row r="51" spans="1:6" x14ac:dyDescent="0.25">
      <c r="A51" s="195" t="s">
        <v>414</v>
      </c>
      <c r="B51" s="196">
        <v>10</v>
      </c>
      <c r="C51" s="197">
        <v>7.416666666666667</v>
      </c>
      <c r="D51" s="189">
        <v>60</v>
      </c>
      <c r="E51" s="198">
        <f t="shared" si="0"/>
        <v>1.24</v>
      </c>
    </row>
    <row r="52" spans="1:6" x14ac:dyDescent="0.25">
      <c r="A52" s="195" t="s">
        <v>415</v>
      </c>
      <c r="B52" s="196">
        <v>1</v>
      </c>
      <c r="C52" s="197">
        <v>260.93</v>
      </c>
      <c r="D52" s="189">
        <v>60</v>
      </c>
      <c r="E52" s="198">
        <f t="shared" si="0"/>
        <v>4.3499999999999996</v>
      </c>
    </row>
    <row r="53" spans="1:6" x14ac:dyDescent="0.25">
      <c r="A53" s="195" t="s">
        <v>416</v>
      </c>
      <c r="B53" s="196">
        <v>1</v>
      </c>
      <c r="C53" s="197">
        <v>120.03333333333335</v>
      </c>
      <c r="D53" s="189">
        <v>60</v>
      </c>
      <c r="E53" s="198">
        <f t="shared" si="0"/>
        <v>2</v>
      </c>
    </row>
    <row r="54" spans="1:6" x14ac:dyDescent="0.25">
      <c r="A54" s="159"/>
      <c r="B54" s="207">
        <v>0</v>
      </c>
      <c r="C54" s="197">
        <v>0</v>
      </c>
      <c r="D54" s="207">
        <v>60</v>
      </c>
      <c r="E54" s="198">
        <f t="shared" si="0"/>
        <v>0</v>
      </c>
    </row>
    <row r="55" spans="1:6" x14ac:dyDescent="0.25">
      <c r="A55" s="159"/>
      <c r="B55" s="207">
        <v>0</v>
      </c>
      <c r="C55" s="197">
        <v>0</v>
      </c>
      <c r="D55" s="207">
        <v>60</v>
      </c>
      <c r="E55" s="198">
        <f t="shared" si="0"/>
        <v>0</v>
      </c>
    </row>
    <row r="56" spans="1:6" x14ac:dyDescent="0.25">
      <c r="A56" s="159"/>
      <c r="B56" s="207">
        <v>0</v>
      </c>
      <c r="C56" s="197">
        <v>0</v>
      </c>
      <c r="D56" s="207">
        <v>60</v>
      </c>
      <c r="E56" s="198">
        <f t="shared" si="0"/>
        <v>0</v>
      </c>
    </row>
    <row r="57" spans="1:6" x14ac:dyDescent="0.25">
      <c r="A57" s="159"/>
      <c r="B57" s="207">
        <v>0</v>
      </c>
      <c r="C57" s="197">
        <v>0</v>
      </c>
      <c r="D57" s="207">
        <v>60</v>
      </c>
      <c r="E57" s="198">
        <f t="shared" si="0"/>
        <v>0</v>
      </c>
    </row>
    <row r="58" spans="1:6" x14ac:dyDescent="0.25">
      <c r="A58" s="159"/>
      <c r="B58" s="208">
        <v>0</v>
      </c>
      <c r="C58" s="197">
        <v>0</v>
      </c>
      <c r="D58" s="208">
        <v>60</v>
      </c>
      <c r="E58" s="198">
        <f t="shared" si="0"/>
        <v>0</v>
      </c>
    </row>
    <row r="59" spans="1:6" x14ac:dyDescent="0.25">
      <c r="A59" s="159"/>
      <c r="B59" s="208">
        <v>0</v>
      </c>
      <c r="C59" s="197">
        <v>0</v>
      </c>
      <c r="D59" s="208">
        <v>60</v>
      </c>
      <c r="E59" s="198">
        <f t="shared" si="0"/>
        <v>0</v>
      </c>
    </row>
    <row r="60" spans="1:6" x14ac:dyDescent="0.25">
      <c r="A60" s="159"/>
      <c r="B60" s="208">
        <v>0</v>
      </c>
      <c r="C60" s="197">
        <v>0</v>
      </c>
      <c r="D60" s="208">
        <v>60</v>
      </c>
      <c r="E60" s="198">
        <f t="shared" si="0"/>
        <v>0</v>
      </c>
    </row>
    <row r="61" spans="1:6" x14ac:dyDescent="0.25">
      <c r="A61" s="159"/>
      <c r="B61" s="208">
        <v>0</v>
      </c>
      <c r="C61" s="197">
        <v>0</v>
      </c>
      <c r="D61" s="208">
        <v>60</v>
      </c>
      <c r="E61" s="198">
        <f t="shared" si="0"/>
        <v>0</v>
      </c>
    </row>
    <row r="62" spans="1:6" x14ac:dyDescent="0.25">
      <c r="A62" s="160"/>
      <c r="B62" s="208">
        <v>0</v>
      </c>
      <c r="C62" s="197">
        <v>0</v>
      </c>
      <c r="D62" s="208">
        <v>60</v>
      </c>
      <c r="E62" s="198">
        <f t="shared" si="0"/>
        <v>0</v>
      </c>
    </row>
    <row r="63" spans="1:6" x14ac:dyDescent="0.25">
      <c r="A63" s="262"/>
      <c r="B63" s="263">
        <v>0</v>
      </c>
      <c r="C63" s="205">
        <v>0</v>
      </c>
      <c r="D63" s="263">
        <v>60</v>
      </c>
      <c r="E63" s="264">
        <f t="shared" si="0"/>
        <v>0</v>
      </c>
    </row>
    <row r="64" spans="1:6" ht="15" customHeight="1" x14ac:dyDescent="0.25">
      <c r="A64" s="1007" t="s">
        <v>292</v>
      </c>
      <c r="B64" s="1007"/>
      <c r="C64" s="1007"/>
      <c r="D64" s="1007"/>
      <c r="E64" s="265">
        <f>SUM(E3:E63)/2</f>
        <v>52.119999999999983</v>
      </c>
      <c r="F64" s="217"/>
    </row>
    <row r="65" spans="1:5" x14ac:dyDescent="0.25">
      <c r="A65" s="209"/>
      <c r="B65" s="209"/>
      <c r="C65" s="209"/>
      <c r="D65" s="209"/>
      <c r="E65" s="209"/>
    </row>
    <row r="66" spans="1:5" ht="139.80000000000001" customHeight="1" x14ac:dyDescent="0.25">
      <c r="A66" s="897" t="s">
        <v>449</v>
      </c>
      <c r="B66" s="897"/>
      <c r="C66" s="210">
        <v>2035.9</v>
      </c>
      <c r="D66" s="189">
        <v>12</v>
      </c>
      <c r="E66" s="211">
        <f>C66/D66</f>
        <v>169.65833333333333</v>
      </c>
    </row>
    <row r="67" spans="1:5" ht="15" customHeight="1" x14ac:dyDescent="0.25">
      <c r="A67" s="1003" t="s">
        <v>292</v>
      </c>
      <c r="B67" s="1003"/>
      <c r="C67" s="1003"/>
      <c r="D67" s="1003"/>
      <c r="E67" s="161">
        <f>ROUND(E66/2,2)</f>
        <v>84.83</v>
      </c>
    </row>
    <row r="68" spans="1:5" x14ac:dyDescent="0.25">
      <c r="A68" s="1003"/>
      <c r="B68" s="1003"/>
      <c r="C68" s="1003"/>
      <c r="D68" s="1003"/>
      <c r="E68" s="1003"/>
    </row>
    <row r="69" spans="1:5" ht="14.7" customHeight="1" x14ac:dyDescent="0.25">
      <c r="A69" s="1003"/>
      <c r="B69" s="1003"/>
      <c r="C69" s="1003"/>
      <c r="D69" s="1003"/>
      <c r="E69" s="1003"/>
    </row>
    <row r="70" spans="1:5" ht="15" customHeight="1" x14ac:dyDescent="0.25">
      <c r="A70" s="1003" t="s">
        <v>293</v>
      </c>
      <c r="B70" s="1003"/>
      <c r="C70" s="1003"/>
      <c r="D70" s="1003"/>
      <c r="E70" s="1003"/>
    </row>
    <row r="71" spans="1:5" ht="52.8" x14ac:dyDescent="0.25">
      <c r="A71" s="187" t="s">
        <v>289</v>
      </c>
      <c r="B71" s="190" t="s">
        <v>294</v>
      </c>
      <c r="C71" s="190" t="s">
        <v>295</v>
      </c>
      <c r="D71" s="190" t="s">
        <v>42</v>
      </c>
      <c r="E71" s="187" t="s">
        <v>291</v>
      </c>
    </row>
    <row r="72" spans="1:5" x14ac:dyDescent="0.25">
      <c r="A72" s="162" t="s">
        <v>296</v>
      </c>
      <c r="B72" s="212">
        <v>12</v>
      </c>
      <c r="C72" s="213">
        <v>48</v>
      </c>
      <c r="D72" s="188">
        <v>12</v>
      </c>
      <c r="E72" s="214">
        <f>(B72*C72)/D72</f>
        <v>48</v>
      </c>
    </row>
    <row r="73" spans="1:5" x14ac:dyDescent="0.25">
      <c r="A73" s="162" t="s">
        <v>297</v>
      </c>
      <c r="B73" s="212">
        <v>25</v>
      </c>
      <c r="C73" s="213">
        <v>93.75</v>
      </c>
      <c r="D73" s="188">
        <v>12</v>
      </c>
      <c r="E73" s="214">
        <f>(B73*C73)/D73</f>
        <v>195.3125</v>
      </c>
    </row>
    <row r="74" spans="1:5" x14ac:dyDescent="0.25">
      <c r="A74" s="163" t="s">
        <v>298</v>
      </c>
      <c r="B74" s="212">
        <v>12</v>
      </c>
      <c r="C74" s="213">
        <v>56</v>
      </c>
      <c r="D74" s="188">
        <v>12</v>
      </c>
      <c r="E74" s="214">
        <f>(B74*C74)/D74</f>
        <v>56</v>
      </c>
    </row>
    <row r="75" spans="1:5" x14ac:dyDescent="0.25">
      <c r="A75" s="163" t="s">
        <v>299</v>
      </c>
      <c r="B75" s="212">
        <v>0</v>
      </c>
      <c r="C75" s="213">
        <v>77</v>
      </c>
      <c r="D75" s="188">
        <v>12</v>
      </c>
      <c r="E75" s="214">
        <f>(B75*C75)/D75</f>
        <v>0</v>
      </c>
    </row>
    <row r="76" spans="1:5" ht="14.7" customHeight="1" x14ac:dyDescent="0.25">
      <c r="A76" s="1004" t="s">
        <v>292</v>
      </c>
      <c r="B76" s="1004"/>
      <c r="C76" s="1004"/>
      <c r="D76" s="1004"/>
      <c r="E76" s="215">
        <f>SUM(E72:E75)/2</f>
        <v>149.65625</v>
      </c>
    </row>
    <row r="78" spans="1:5" ht="14.7" customHeight="1" x14ac:dyDescent="0.25">
      <c r="A78" s="1005" t="s">
        <v>300</v>
      </c>
      <c r="B78" s="1005"/>
      <c r="C78" s="1005"/>
      <c r="D78" s="1005"/>
      <c r="E78" s="216">
        <f>E64+E67+E76</f>
        <v>286.60624999999999</v>
      </c>
    </row>
  </sheetData>
  <sheetProtection selectLockedCells="1" selectUnlockedCells="1"/>
  <mergeCells count="9">
    <mergeCell ref="A70:E70"/>
    <mergeCell ref="A76:D76"/>
    <mergeCell ref="A78:D78"/>
    <mergeCell ref="A1:E1"/>
    <mergeCell ref="A64:D64"/>
    <mergeCell ref="A66:B66"/>
    <mergeCell ref="A67:D67"/>
    <mergeCell ref="A68:E68"/>
    <mergeCell ref="A69:E69"/>
  </mergeCells>
  <pageMargins left="0.78749999999999998" right="0.78749999999999998" top="1.0249999999999999" bottom="1.0249999999999999" header="0.78749999999999998" footer="0.78749999999999998"/>
  <pageSetup paperSize="9" firstPageNumber="0" orientation="landscape" horizontalDpi="300" verticalDpi="300" r:id="rId1"/>
  <headerFooter alignWithMargins="0">
    <oddHeader>&amp;C&amp;A</oddHeader>
    <oddFooter>&amp;CPágina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44"/>
  <sheetViews>
    <sheetView topLeftCell="A50" workbookViewId="0">
      <selection activeCell="L65" sqref="L65"/>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899" t="s">
        <v>106</v>
      </c>
      <c r="C1" s="899"/>
      <c r="D1" s="899"/>
      <c r="E1" s="899"/>
      <c r="F1" s="899"/>
      <c r="G1" s="899"/>
      <c r="H1" s="899"/>
      <c r="I1" s="899"/>
      <c r="J1" s="899"/>
      <c r="K1" s="1008"/>
      <c r="L1" s="1008"/>
    </row>
    <row r="2" spans="1:12" ht="21.75" customHeight="1" x14ac:dyDescent="0.25">
      <c r="A2" s="20"/>
      <c r="B2" s="901" t="s">
        <v>2</v>
      </c>
      <c r="C2" s="901"/>
      <c r="D2" s="901"/>
      <c r="E2" s="902" t="str">
        <f>'DADOS INICIAIS'!D2</f>
        <v>16034.720017/2023-24</v>
      </c>
      <c r="F2" s="902"/>
      <c r="G2" s="902"/>
      <c r="H2" s="902"/>
      <c r="I2" s="902"/>
      <c r="J2" s="902"/>
      <c r="K2" s="1008"/>
      <c r="L2" s="1008"/>
    </row>
    <row r="3" spans="1:12" ht="21.75" customHeight="1" x14ac:dyDescent="0.25">
      <c r="A3" s="20"/>
      <c r="B3" s="901" t="s">
        <v>3</v>
      </c>
      <c r="C3" s="901"/>
      <c r="D3" s="901"/>
      <c r="E3" s="903" t="str">
        <f>'DADOS INICIAIS'!D3</f>
        <v>Pregão DRF/JUN nº 10/2023</v>
      </c>
      <c r="F3" s="903"/>
      <c r="G3" s="903"/>
      <c r="H3" s="903"/>
      <c r="I3" s="903"/>
      <c r="J3" s="903"/>
      <c r="K3" s="1008"/>
      <c r="L3" s="1008"/>
    </row>
    <row r="4" spans="1:12" ht="21.75" customHeight="1" x14ac:dyDescent="0.25">
      <c r="A4" s="20"/>
      <c r="B4" s="901" t="s">
        <v>4</v>
      </c>
      <c r="C4" s="901"/>
      <c r="D4" s="901"/>
      <c r="E4" s="904" t="str">
        <f>'DADOS INICIAIS'!D4</f>
        <v>XX/XX/2023</v>
      </c>
      <c r="F4" s="904"/>
      <c r="G4" s="23"/>
      <c r="H4" s="24" t="s">
        <v>5</v>
      </c>
      <c r="I4" s="905">
        <f>'DADOS INICIAIS'!H4</f>
        <v>0.375</v>
      </c>
      <c r="J4" s="905"/>
      <c r="K4" s="1008"/>
      <c r="L4" s="1008"/>
    </row>
    <row r="5" spans="1:12" ht="21.75" customHeight="1" x14ac:dyDescent="0.25">
      <c r="A5" s="20"/>
      <c r="B5" s="25"/>
      <c r="C5" s="26"/>
      <c r="D5" s="26"/>
      <c r="E5" s="26"/>
      <c r="F5" s="26"/>
      <c r="G5" s="26"/>
      <c r="H5" s="26"/>
      <c r="I5" s="26"/>
      <c r="J5" s="26"/>
      <c r="K5" s="1008"/>
      <c r="L5" s="1008"/>
    </row>
    <row r="6" spans="1:12" ht="21.75" customHeight="1" x14ac:dyDescent="0.25">
      <c r="A6" s="20"/>
      <c r="B6" s="901" t="s">
        <v>107</v>
      </c>
      <c r="C6" s="901"/>
      <c r="D6" s="901"/>
      <c r="E6" s="906" t="str">
        <f>'DADOS INICIAIS'!D1</f>
        <v>Manutenção Predial</v>
      </c>
      <c r="F6" s="906"/>
      <c r="G6" s="906"/>
      <c r="H6" s="906"/>
      <c r="I6" s="906"/>
      <c r="J6" s="906"/>
      <c r="K6" s="1008"/>
      <c r="L6" s="1008"/>
    </row>
    <row r="7" spans="1:12" ht="21.75" customHeight="1" x14ac:dyDescent="0.25">
      <c r="A7" s="20"/>
      <c r="B7" s="27"/>
      <c r="C7" s="20"/>
      <c r="D7" s="20"/>
      <c r="E7" s="20"/>
      <c r="F7" s="20"/>
      <c r="G7" s="20"/>
      <c r="H7" s="20"/>
      <c r="I7" s="20"/>
      <c r="J7" s="20"/>
      <c r="K7" s="20"/>
      <c r="L7" s="28"/>
    </row>
    <row r="8" spans="1:12" ht="21.75" customHeight="1" x14ac:dyDescent="0.25">
      <c r="A8" s="20"/>
      <c r="B8" s="29" t="s">
        <v>108</v>
      </c>
      <c r="C8" s="907" t="s">
        <v>109</v>
      </c>
      <c r="D8" s="907"/>
      <c r="E8" s="907"/>
      <c r="F8" s="907"/>
      <c r="G8" s="1009" t="str">
        <f>'DADOS INICIAIS'!D6</f>
        <v>JUNDIAÍ</v>
      </c>
      <c r="H8" s="1009"/>
      <c r="I8" s="1009"/>
      <c r="J8" s="1009"/>
      <c r="K8" s="1009"/>
      <c r="L8" s="1009"/>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09" t="s">
        <v>114</v>
      </c>
      <c r="C14" s="909"/>
      <c r="D14" s="909"/>
      <c r="E14" s="909"/>
      <c r="F14" s="909"/>
      <c r="G14" s="909"/>
      <c r="H14" s="909"/>
      <c r="I14" s="909"/>
      <c r="J14" s="909"/>
      <c r="K14" s="909"/>
      <c r="L14" s="909"/>
    </row>
    <row r="15" spans="1:12" ht="21.75" customHeight="1" x14ac:dyDescent="0.25">
      <c r="A15" s="20"/>
      <c r="B15" s="33">
        <v>1</v>
      </c>
      <c r="C15" s="22" t="s">
        <v>115</v>
      </c>
      <c r="D15" s="22"/>
      <c r="E15" s="22"/>
      <c r="F15" s="22"/>
      <c r="G15" s="22"/>
      <c r="H15" s="22"/>
      <c r="I15" s="22"/>
      <c r="J15" s="22"/>
      <c r="K15" s="22"/>
      <c r="L15" s="34">
        <f>'DADOS INICIAIS'!J16</f>
        <v>113.41</v>
      </c>
    </row>
    <row r="16" spans="1:12" ht="21.75" customHeight="1" x14ac:dyDescent="0.25">
      <c r="A16" s="20"/>
      <c r="B16" s="33">
        <v>2</v>
      </c>
      <c r="C16" s="22" t="s">
        <v>116</v>
      </c>
      <c r="D16" s="22"/>
      <c r="E16" s="22"/>
      <c r="F16" s="22"/>
      <c r="G16" s="22"/>
      <c r="H16" s="22"/>
      <c r="I16" s="22"/>
      <c r="J16" s="22"/>
      <c r="K16" s="22"/>
      <c r="L16" s="35" t="str">
        <f>'DADOS INICIAIS'!J17</f>
        <v>Eng. Civil</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10" t="s">
        <v>118</v>
      </c>
      <c r="D18" s="910"/>
      <c r="E18" s="910"/>
      <c r="F18" s="910"/>
      <c r="G18" s="910"/>
      <c r="H18" s="910"/>
      <c r="I18" s="910"/>
      <c r="J18" s="910"/>
      <c r="K18" s="910"/>
      <c r="L18" s="39" t="str">
        <f>'DADOS INICIAIS'!J15</f>
        <v>2142-05</v>
      </c>
    </row>
    <row r="19" spans="1:12" ht="21.75" customHeight="1" x14ac:dyDescent="0.25">
      <c r="A19" s="20"/>
      <c r="B19" s="40"/>
      <c r="C19" s="20"/>
      <c r="D19" s="20"/>
      <c r="E19" s="20"/>
      <c r="F19" s="20"/>
      <c r="G19" s="20"/>
      <c r="H19" s="20"/>
      <c r="I19" s="20"/>
      <c r="J19" s="20"/>
      <c r="K19" s="20"/>
      <c r="L19" s="41"/>
    </row>
    <row r="20" spans="1:12" ht="21.75" customHeight="1" x14ac:dyDescent="0.25">
      <c r="A20" s="20"/>
      <c r="B20" s="911" t="s">
        <v>119</v>
      </c>
      <c r="C20" s="911"/>
      <c r="D20" s="911"/>
      <c r="E20" s="911"/>
      <c r="F20" s="911"/>
      <c r="G20" s="911"/>
      <c r="H20" s="911"/>
      <c r="I20" s="911"/>
      <c r="J20" s="911"/>
      <c r="K20" s="911"/>
      <c r="L20" s="42" t="s">
        <v>72</v>
      </c>
    </row>
    <row r="21" spans="1:12" ht="21.75" customHeight="1" x14ac:dyDescent="0.25">
      <c r="A21" s="20"/>
      <c r="B21" s="33" t="s">
        <v>120</v>
      </c>
      <c r="C21" s="22" t="s">
        <v>121</v>
      </c>
      <c r="D21" s="22"/>
      <c r="E21" s="22"/>
      <c r="F21" s="22"/>
      <c r="G21" s="22"/>
      <c r="H21" s="22"/>
      <c r="I21" s="22"/>
      <c r="J21" s="22"/>
      <c r="K21" s="43"/>
      <c r="L21" s="44">
        <f>'DADOS INICIAIS'!J19</f>
        <v>113.41</v>
      </c>
    </row>
    <row r="22" spans="1:12" ht="21.75" customHeight="1" x14ac:dyDescent="0.25">
      <c r="A22" s="20"/>
      <c r="B22" s="33" t="s">
        <v>122</v>
      </c>
      <c r="C22" s="37" t="s">
        <v>30</v>
      </c>
      <c r="D22" s="37"/>
      <c r="E22" s="37"/>
      <c r="F22" s="43" t="s">
        <v>123</v>
      </c>
      <c r="G22" s="43"/>
      <c r="H22" s="37"/>
      <c r="I22" s="43" t="s">
        <v>124</v>
      </c>
      <c r="J22" s="20"/>
      <c r="K22" s="45">
        <f>'DADOS INICIAIS'!J20</f>
        <v>0</v>
      </c>
      <c r="L22" s="44">
        <f>L21*K22</f>
        <v>0</v>
      </c>
    </row>
    <row r="23" spans="1:12" ht="21.75" customHeight="1" x14ac:dyDescent="0.25">
      <c r="A23" s="20"/>
      <c r="B23" s="912" t="s">
        <v>125</v>
      </c>
      <c r="C23" s="37" t="s">
        <v>126</v>
      </c>
      <c r="D23" s="37"/>
      <c r="E23" s="37"/>
      <c r="F23" s="43" t="s">
        <v>127</v>
      </c>
      <c r="G23" s="43"/>
      <c r="H23" s="37"/>
      <c r="I23" s="37"/>
      <c r="J23" s="37"/>
      <c r="K23" s="137"/>
      <c r="L23" s="913">
        <f>L21*K23</f>
        <v>0</v>
      </c>
    </row>
    <row r="24" spans="1:12" ht="21.75" customHeight="1" x14ac:dyDescent="0.25">
      <c r="A24" s="20"/>
      <c r="B24" s="912"/>
      <c r="C24" s="31"/>
      <c r="D24" s="31"/>
      <c r="E24" s="31"/>
      <c r="F24" s="46" t="s">
        <v>128</v>
      </c>
      <c r="G24" s="46"/>
      <c r="H24" s="31"/>
      <c r="I24" s="47" t="s">
        <v>129</v>
      </c>
      <c r="J24" s="48"/>
      <c r="K24" s="143"/>
      <c r="L24" s="913"/>
    </row>
    <row r="25" spans="1:12" ht="21.75" customHeight="1" x14ac:dyDescent="0.25">
      <c r="A25" s="20"/>
      <c r="B25" s="33" t="s">
        <v>130</v>
      </c>
      <c r="C25" s="914" t="s">
        <v>131</v>
      </c>
      <c r="D25" s="914"/>
      <c r="E25" s="914"/>
      <c r="F25" s="914"/>
      <c r="G25" s="914"/>
      <c r="H25" s="914"/>
      <c r="I25" s="914"/>
      <c r="J25" s="914"/>
      <c r="K25" s="914"/>
      <c r="L25" s="44"/>
    </row>
    <row r="26" spans="1:12" ht="21.75" customHeight="1" x14ac:dyDescent="0.25">
      <c r="A26" s="20"/>
      <c r="B26" s="33" t="s">
        <v>132</v>
      </c>
      <c r="C26" s="914" t="s">
        <v>116</v>
      </c>
      <c r="D26" s="914"/>
      <c r="E26" s="914"/>
      <c r="F26" s="914"/>
      <c r="G26" s="914"/>
      <c r="H26" s="914"/>
      <c r="I26" s="914"/>
      <c r="J26" s="914"/>
      <c r="K26" s="914"/>
      <c r="L26" s="44" t="str">
        <f>L16</f>
        <v>Eng. Civil</v>
      </c>
    </row>
    <row r="27" spans="1:12" ht="21.75" customHeight="1" x14ac:dyDescent="0.25">
      <c r="A27" s="20"/>
      <c r="B27" s="33" t="s">
        <v>133</v>
      </c>
      <c r="C27" s="914" t="s">
        <v>134</v>
      </c>
      <c r="D27" s="914"/>
      <c r="E27" s="914"/>
      <c r="F27" s="914"/>
      <c r="G27" s="914"/>
      <c r="H27" s="914"/>
      <c r="I27" s="914"/>
      <c r="J27" s="914"/>
      <c r="K27" s="914"/>
      <c r="L27" s="44"/>
    </row>
    <row r="28" spans="1:12" ht="21.75" customHeight="1" x14ac:dyDescent="0.25">
      <c r="A28" s="20"/>
      <c r="B28" s="33" t="s">
        <v>135</v>
      </c>
      <c r="C28" s="914" t="s">
        <v>136</v>
      </c>
      <c r="D28" s="914"/>
      <c r="E28" s="914"/>
      <c r="F28" s="914"/>
      <c r="G28" s="914"/>
      <c r="H28" s="914"/>
      <c r="I28" s="914"/>
      <c r="J28" s="914"/>
      <c r="K28" s="914"/>
      <c r="L28" s="44"/>
    </row>
    <row r="29" spans="1:12" ht="21.75" customHeight="1" x14ac:dyDescent="0.25">
      <c r="A29" s="20"/>
      <c r="B29" s="911" t="s">
        <v>137</v>
      </c>
      <c r="C29" s="911"/>
      <c r="D29" s="911"/>
      <c r="E29" s="911"/>
      <c r="F29" s="911"/>
      <c r="G29" s="49"/>
      <c r="H29" s="49"/>
      <c r="I29" s="49"/>
      <c r="J29" s="49"/>
      <c r="K29" s="49"/>
      <c r="L29" s="50">
        <f>SUM(L21:L28)</f>
        <v>113.41</v>
      </c>
    </row>
    <row r="30" spans="1:12" ht="21.75" customHeight="1" x14ac:dyDescent="0.25">
      <c r="A30" s="20"/>
      <c r="B30" s="915"/>
      <c r="C30" s="915"/>
      <c r="D30" s="915"/>
      <c r="E30" s="915"/>
      <c r="F30" s="915"/>
      <c r="G30" s="915"/>
      <c r="H30" s="915"/>
      <c r="I30" s="915"/>
      <c r="J30" s="915"/>
      <c r="K30" s="915"/>
      <c r="L30" s="915"/>
    </row>
    <row r="31" spans="1:12" ht="21.75" customHeight="1" x14ac:dyDescent="0.25">
      <c r="A31" s="20"/>
      <c r="B31" s="1010" t="s">
        <v>138</v>
      </c>
      <c r="C31" s="1010"/>
      <c r="D31" s="1010"/>
      <c r="E31" s="1010"/>
      <c r="F31" s="1010"/>
      <c r="G31" s="1010"/>
      <c r="H31" s="1010"/>
      <c r="I31" s="1010"/>
      <c r="J31" s="1010"/>
      <c r="K31" s="1010"/>
      <c r="L31" s="1010"/>
    </row>
    <row r="32" spans="1:12" ht="21.75" customHeight="1" x14ac:dyDescent="0.25">
      <c r="A32" s="20"/>
      <c r="B32" s="1011" t="s">
        <v>139</v>
      </c>
      <c r="C32" s="1011"/>
      <c r="D32" s="1011"/>
      <c r="E32" s="1011"/>
      <c r="F32" s="1011"/>
      <c r="G32" s="1011"/>
      <c r="H32" s="1011"/>
      <c r="I32" s="1011"/>
      <c r="J32" s="1011"/>
      <c r="K32" s="1011"/>
      <c r="L32" s="1011"/>
    </row>
    <row r="33" spans="1:12" ht="21.75" customHeight="1" x14ac:dyDescent="0.25">
      <c r="A33" s="20"/>
      <c r="B33" s="51" t="s">
        <v>120</v>
      </c>
      <c r="C33" s="918" t="s">
        <v>140</v>
      </c>
      <c r="D33" s="918"/>
      <c r="E33" s="918"/>
      <c r="F33" s="918"/>
      <c r="G33" s="918"/>
      <c r="H33" s="918"/>
      <c r="I33" s="918"/>
      <c r="J33" s="918"/>
      <c r="K33" s="52">
        <v>8.3299999999999999E-2</v>
      </c>
      <c r="L33" s="53">
        <f>L29*K33</f>
        <v>9.4470530000000004</v>
      </c>
    </row>
    <row r="34" spans="1:12" ht="21.75" customHeight="1" x14ac:dyDescent="0.25">
      <c r="A34" s="20"/>
      <c r="B34" s="51" t="s">
        <v>122</v>
      </c>
      <c r="C34" s="918" t="s">
        <v>141</v>
      </c>
      <c r="D34" s="918"/>
      <c r="E34" s="918"/>
      <c r="F34" s="918"/>
      <c r="G34" s="918"/>
      <c r="H34" s="918"/>
      <c r="I34" s="918"/>
      <c r="J34" s="918"/>
      <c r="K34" s="52">
        <v>0.121</v>
      </c>
      <c r="L34" s="53">
        <f>L29*K34</f>
        <v>13.72261</v>
      </c>
    </row>
    <row r="35" spans="1:12" ht="21.75" customHeight="1" x14ac:dyDescent="0.25">
      <c r="A35" s="20"/>
      <c r="B35" s="51" t="s">
        <v>125</v>
      </c>
      <c r="C35" s="918" t="s">
        <v>142</v>
      </c>
      <c r="D35" s="918"/>
      <c r="E35" s="918"/>
      <c r="F35" s="918"/>
      <c r="G35" s="918"/>
      <c r="H35" s="918"/>
      <c r="I35" s="918"/>
      <c r="J35" s="918"/>
      <c r="K35" s="52">
        <f>(K33+K34)*K39</f>
        <v>7.518240000000001E-2</v>
      </c>
      <c r="L35" s="53">
        <f>L29*K35</f>
        <v>8.5264359840000008</v>
      </c>
    </row>
    <row r="36" spans="1:12" ht="21.75" customHeight="1" x14ac:dyDescent="0.25">
      <c r="A36" s="20"/>
      <c r="B36" s="54"/>
      <c r="C36" s="919"/>
      <c r="D36" s="919"/>
      <c r="E36" s="919"/>
      <c r="F36" s="919"/>
      <c r="G36" s="919"/>
      <c r="H36" s="919"/>
      <c r="I36" s="919"/>
      <c r="J36" s="919"/>
      <c r="K36" s="55">
        <f>K33+K34+K35</f>
        <v>0.27948240000000002</v>
      </c>
      <c r="L36" s="56">
        <f>L29*K36</f>
        <v>31.696098984000002</v>
      </c>
    </row>
    <row r="37" spans="1:12" ht="21.75" customHeight="1" x14ac:dyDescent="0.25">
      <c r="A37" s="20"/>
      <c r="B37" s="920"/>
      <c r="C37" s="920"/>
      <c r="D37" s="920"/>
      <c r="E37" s="920"/>
      <c r="F37" s="920"/>
      <c r="G37" s="920"/>
      <c r="H37" s="920"/>
      <c r="I37" s="920"/>
      <c r="J37" s="920"/>
      <c r="K37" s="920"/>
      <c r="L37" s="920"/>
    </row>
    <row r="38" spans="1:12" ht="21.75" customHeight="1" x14ac:dyDescent="0.25">
      <c r="A38" s="20"/>
      <c r="B38" s="1012" t="s">
        <v>143</v>
      </c>
      <c r="C38" s="1012"/>
      <c r="D38" s="1012"/>
      <c r="E38" s="1012"/>
      <c r="F38" s="1012"/>
      <c r="G38" s="1012"/>
      <c r="H38" s="1012"/>
      <c r="I38" s="1012"/>
      <c r="J38" s="1012"/>
      <c r="K38" s="1012"/>
      <c r="L38" s="1012"/>
    </row>
    <row r="39" spans="1:12" ht="21.75" customHeight="1" x14ac:dyDescent="0.25">
      <c r="A39" s="20"/>
      <c r="B39" s="57" t="s">
        <v>144</v>
      </c>
      <c r="C39" s="20"/>
      <c r="D39" s="20"/>
      <c r="E39" s="20"/>
      <c r="F39" s="20"/>
      <c r="G39" s="20"/>
      <c r="H39" s="20"/>
      <c r="I39" s="20"/>
      <c r="J39" s="20"/>
      <c r="K39" s="58">
        <f>SUM(K40:K47)</f>
        <v>0.3680000000000001</v>
      </c>
      <c r="L39" s="59">
        <f>SUM(L40:L47)</f>
        <v>41.734879999999997</v>
      </c>
    </row>
    <row r="40" spans="1:12" ht="21.75" customHeight="1" x14ac:dyDescent="0.25">
      <c r="A40" s="20"/>
      <c r="B40" s="33" t="s">
        <v>120</v>
      </c>
      <c r="C40" s="922" t="s">
        <v>145</v>
      </c>
      <c r="D40" s="922"/>
      <c r="E40" s="922"/>
      <c r="F40" s="922"/>
      <c r="G40" s="922"/>
      <c r="H40" s="922"/>
      <c r="I40" s="922"/>
      <c r="J40" s="922"/>
      <c r="K40" s="60">
        <v>0.2</v>
      </c>
      <c r="L40" s="44">
        <f t="shared" ref="L40:L47" si="0">K40*$L$29</f>
        <v>22.682000000000002</v>
      </c>
    </row>
    <row r="41" spans="1:12" ht="21.75" customHeight="1" x14ac:dyDescent="0.25">
      <c r="A41" s="20"/>
      <c r="B41" s="33" t="s">
        <v>122</v>
      </c>
      <c r="C41" s="922" t="s">
        <v>146</v>
      </c>
      <c r="D41" s="922"/>
      <c r="E41" s="922"/>
      <c r="F41" s="922"/>
      <c r="G41" s="922"/>
      <c r="H41" s="922"/>
      <c r="I41" s="922"/>
      <c r="J41" s="922"/>
      <c r="K41" s="60">
        <v>1.4999999999999999E-2</v>
      </c>
      <c r="L41" s="44">
        <f t="shared" si="0"/>
        <v>1.7011499999999999</v>
      </c>
    </row>
    <row r="42" spans="1:12" ht="21.75" customHeight="1" x14ac:dyDescent="0.25">
      <c r="A42" s="20"/>
      <c r="B42" s="33" t="s">
        <v>125</v>
      </c>
      <c r="C42" s="922" t="s">
        <v>147</v>
      </c>
      <c r="D42" s="922"/>
      <c r="E42" s="922"/>
      <c r="F42" s="922"/>
      <c r="G42" s="922"/>
      <c r="H42" s="922"/>
      <c r="I42" s="922"/>
      <c r="J42" s="922"/>
      <c r="K42" s="60">
        <v>0.01</v>
      </c>
      <c r="L42" s="44">
        <f t="shared" si="0"/>
        <v>1.1340999999999999</v>
      </c>
    </row>
    <row r="43" spans="1:12" ht="21.75" customHeight="1" x14ac:dyDescent="0.25">
      <c r="A43" s="20"/>
      <c r="B43" s="33" t="s">
        <v>130</v>
      </c>
      <c r="C43" s="922" t="s">
        <v>148</v>
      </c>
      <c r="D43" s="922"/>
      <c r="E43" s="922"/>
      <c r="F43" s="922"/>
      <c r="G43" s="922"/>
      <c r="H43" s="922"/>
      <c r="I43" s="922"/>
      <c r="J43" s="922"/>
      <c r="K43" s="60">
        <v>2E-3</v>
      </c>
      <c r="L43" s="44">
        <f t="shared" si="0"/>
        <v>0.22681999999999999</v>
      </c>
    </row>
    <row r="44" spans="1:12" ht="21.75" customHeight="1" x14ac:dyDescent="0.25">
      <c r="A44" s="20"/>
      <c r="B44" s="33" t="s">
        <v>132</v>
      </c>
      <c r="C44" s="922" t="s">
        <v>149</v>
      </c>
      <c r="D44" s="922"/>
      <c r="E44" s="922"/>
      <c r="F44" s="922"/>
      <c r="G44" s="922"/>
      <c r="H44" s="922"/>
      <c r="I44" s="922"/>
      <c r="J44" s="922"/>
      <c r="K44" s="60">
        <v>2.5000000000000001E-2</v>
      </c>
      <c r="L44" s="44">
        <f t="shared" si="0"/>
        <v>2.8352500000000003</v>
      </c>
    </row>
    <row r="45" spans="1:12" ht="21.75" customHeight="1" x14ac:dyDescent="0.25">
      <c r="A45" s="20"/>
      <c r="B45" s="33" t="s">
        <v>133</v>
      </c>
      <c r="C45" s="922" t="s">
        <v>150</v>
      </c>
      <c r="D45" s="922"/>
      <c r="E45" s="922"/>
      <c r="F45" s="922"/>
      <c r="G45" s="922"/>
      <c r="H45" s="922"/>
      <c r="I45" s="922"/>
      <c r="J45" s="922"/>
      <c r="K45" s="60">
        <v>0.08</v>
      </c>
      <c r="L45" s="44">
        <f t="shared" si="0"/>
        <v>9.0727999999999991</v>
      </c>
    </row>
    <row r="46" spans="1:12" ht="21.75" customHeight="1" x14ac:dyDescent="0.25">
      <c r="A46" s="20"/>
      <c r="B46" s="33" t="s">
        <v>135</v>
      </c>
      <c r="C46" s="922" t="s">
        <v>151</v>
      </c>
      <c r="D46" s="922"/>
      <c r="E46" s="922"/>
      <c r="F46" s="922"/>
      <c r="G46" s="61">
        <f>'DADOS INICIAIS'!H89</f>
        <v>0.03</v>
      </c>
      <c r="H46" s="62" t="s">
        <v>152</v>
      </c>
      <c r="I46" s="923">
        <f>'DADOS INICIAIS'!H90</f>
        <v>1</v>
      </c>
      <c r="J46" s="923"/>
      <c r="K46" s="60">
        <f>G46*I46</f>
        <v>0.03</v>
      </c>
      <c r="L46" s="44">
        <f t="shared" si="0"/>
        <v>3.4022999999999999</v>
      </c>
    </row>
    <row r="47" spans="1:12" ht="21.75" customHeight="1" x14ac:dyDescent="0.25">
      <c r="A47" s="20"/>
      <c r="B47" s="33" t="s">
        <v>153</v>
      </c>
      <c r="C47" s="63" t="s">
        <v>154</v>
      </c>
      <c r="D47" s="64"/>
      <c r="E47" s="64"/>
      <c r="F47" s="64"/>
      <c r="G47" s="64"/>
      <c r="H47" s="64"/>
      <c r="I47" s="64"/>
      <c r="J47" s="65"/>
      <c r="K47" s="60">
        <v>6.0000000000000001E-3</v>
      </c>
      <c r="L47" s="44">
        <f t="shared" si="0"/>
        <v>0.68045999999999995</v>
      </c>
    </row>
    <row r="48" spans="1:12" ht="21.75" customHeight="1" x14ac:dyDescent="0.25">
      <c r="A48" s="20"/>
      <c r="B48" s="915"/>
      <c r="C48" s="915"/>
      <c r="D48" s="915"/>
      <c r="E48" s="915"/>
      <c r="F48" s="915"/>
      <c r="G48" s="915"/>
      <c r="H48" s="915"/>
      <c r="I48" s="915"/>
      <c r="J48" s="915"/>
      <c r="K48" s="915"/>
      <c r="L48" s="915"/>
    </row>
    <row r="49" spans="1:12" ht="21.75" customHeight="1" x14ac:dyDescent="0.25">
      <c r="A49" s="20"/>
      <c r="B49" s="1010" t="s">
        <v>155</v>
      </c>
      <c r="C49" s="1010"/>
      <c r="D49" s="1010"/>
      <c r="E49" s="1010"/>
      <c r="F49" s="1010"/>
      <c r="G49" s="1010"/>
      <c r="H49" s="1010"/>
      <c r="I49" s="1010"/>
      <c r="J49" s="1010"/>
      <c r="K49" s="1010"/>
      <c r="L49" s="1010"/>
    </row>
    <row r="50" spans="1:12" ht="21.75" customHeight="1" x14ac:dyDescent="0.25">
      <c r="A50" s="20"/>
      <c r="B50" s="33" t="s">
        <v>120</v>
      </c>
      <c r="C50" s="924" t="s">
        <v>156</v>
      </c>
      <c r="D50" s="924"/>
      <c r="E50" s="924"/>
      <c r="F50" s="924"/>
      <c r="G50" s="924"/>
      <c r="H50" s="924"/>
      <c r="I50" s="924"/>
      <c r="J50" s="924"/>
      <c r="K50" s="924"/>
      <c r="L50" s="66">
        <f>'DADOS INICIAIS'!J24</f>
        <v>0</v>
      </c>
    </row>
    <row r="51" spans="1:12" ht="21.75" customHeight="1" x14ac:dyDescent="0.25">
      <c r="A51" s="20"/>
      <c r="B51" s="33" t="s">
        <v>122</v>
      </c>
      <c r="C51" s="924" t="s">
        <v>157</v>
      </c>
      <c r="D51" s="924"/>
      <c r="E51" s="924"/>
      <c r="F51" s="924"/>
      <c r="G51" s="924"/>
      <c r="H51" s="924"/>
      <c r="I51" s="924"/>
      <c r="J51" s="924"/>
      <c r="K51" s="924"/>
      <c r="L51" s="66">
        <f>'DADOS INICIAIS'!J31</f>
        <v>0</v>
      </c>
    </row>
    <row r="52" spans="1:12" ht="21.75" customHeight="1" x14ac:dyDescent="0.25">
      <c r="A52" s="20"/>
      <c r="B52" s="33" t="s">
        <v>125</v>
      </c>
      <c r="C52" s="924" t="s">
        <v>37</v>
      </c>
      <c r="D52" s="924"/>
      <c r="E52" s="924"/>
      <c r="F52" s="924"/>
      <c r="G52" s="924"/>
      <c r="H52" s="924"/>
      <c r="I52" s="924"/>
      <c r="J52" s="924"/>
      <c r="K52" s="924"/>
      <c r="L52" s="66">
        <f>'DADOS INICIAIS'!J34</f>
        <v>0</v>
      </c>
    </row>
    <row r="53" spans="1:12" ht="21.75" customHeight="1" x14ac:dyDescent="0.25">
      <c r="A53" s="20"/>
      <c r="B53" s="33" t="s">
        <v>130</v>
      </c>
      <c r="C53" s="924" t="s">
        <v>158</v>
      </c>
      <c r="D53" s="924"/>
      <c r="E53" s="924"/>
      <c r="F53" s="924"/>
      <c r="G53" s="924"/>
      <c r="H53" s="924"/>
      <c r="I53" s="924"/>
      <c r="J53" s="924"/>
      <c r="K53" s="924"/>
      <c r="L53" s="66">
        <f>'DADOS INICIAIS'!J37</f>
        <v>0</v>
      </c>
    </row>
    <row r="54" spans="1:12" ht="21.75" customHeight="1" x14ac:dyDescent="0.25">
      <c r="A54" s="20"/>
      <c r="B54" s="33" t="s">
        <v>132</v>
      </c>
      <c r="C54" s="924" t="s">
        <v>159</v>
      </c>
      <c r="D54" s="924"/>
      <c r="E54" s="924"/>
      <c r="F54" s="924"/>
      <c r="G54" s="924"/>
      <c r="H54" s="924"/>
      <c r="I54" s="924"/>
      <c r="J54" s="924"/>
      <c r="K54" s="924"/>
      <c r="L54" s="66">
        <f>'DADOS INICIAIS'!J40</f>
        <v>0</v>
      </c>
    </row>
    <row r="55" spans="1:12" ht="21.75" customHeight="1" x14ac:dyDescent="0.25">
      <c r="A55" s="20"/>
      <c r="B55" s="33" t="s">
        <v>133</v>
      </c>
      <c r="C55" s="924" t="s">
        <v>160</v>
      </c>
      <c r="D55" s="924"/>
      <c r="E55" s="924"/>
      <c r="F55" s="924"/>
      <c r="G55" s="924"/>
      <c r="H55" s="924"/>
      <c r="I55" s="924"/>
      <c r="J55" s="924"/>
      <c r="K55" s="924"/>
      <c r="L55" s="66">
        <f>'DADOS INICIAIS'!J28</f>
        <v>0</v>
      </c>
    </row>
    <row r="56" spans="1:12" ht="21.75" customHeight="1" x14ac:dyDescent="0.25">
      <c r="A56" s="20"/>
      <c r="B56" s="33" t="s">
        <v>135</v>
      </c>
      <c r="C56" s="924" t="str">
        <f>'DADOS INICIAIS'!C46</f>
        <v>especificar</v>
      </c>
      <c r="D56" s="924"/>
      <c r="E56" s="924"/>
      <c r="F56" s="924"/>
      <c r="G56" s="924"/>
      <c r="H56" s="924"/>
      <c r="I56" s="924"/>
      <c r="J56" s="924"/>
      <c r="K56" s="924"/>
      <c r="L56" s="66">
        <f>'DADOS INICIAIS'!J46</f>
        <v>0</v>
      </c>
    </row>
    <row r="57" spans="1:12" ht="21.75" customHeight="1" x14ac:dyDescent="0.25">
      <c r="A57" s="20"/>
      <c r="B57" s="33" t="s">
        <v>153</v>
      </c>
      <c r="C57" s="924" t="str">
        <f>'DADOS INICIAIS'!C49</f>
        <v>especificar</v>
      </c>
      <c r="D57" s="924"/>
      <c r="E57" s="924"/>
      <c r="F57" s="924"/>
      <c r="G57" s="924"/>
      <c r="H57" s="924"/>
      <c r="I57" s="924"/>
      <c r="J57" s="924"/>
      <c r="K57" s="924"/>
      <c r="L57" s="66">
        <f>'DADOS INICIAIS'!J49</f>
        <v>0</v>
      </c>
    </row>
    <row r="58" spans="1:12" ht="21.75" customHeight="1" x14ac:dyDescent="0.25">
      <c r="A58" s="20"/>
      <c r="B58" s="33" t="s">
        <v>161</v>
      </c>
      <c r="C58" s="910"/>
      <c r="D58" s="910"/>
      <c r="E58" s="910"/>
      <c r="F58" s="910"/>
      <c r="G58" s="910"/>
      <c r="H58" s="910"/>
      <c r="I58" s="910"/>
      <c r="J58" s="910"/>
      <c r="K58" s="910"/>
      <c r="L58" s="164"/>
    </row>
    <row r="59" spans="1:12" ht="21.75" customHeight="1" x14ac:dyDescent="0.25">
      <c r="A59" s="20"/>
      <c r="B59" s="33"/>
      <c r="C59" s="919" t="s">
        <v>162</v>
      </c>
      <c r="D59" s="919"/>
      <c r="E59" s="919"/>
      <c r="F59" s="919"/>
      <c r="G59" s="919"/>
      <c r="H59" s="919"/>
      <c r="I59" s="919"/>
      <c r="J59" s="919"/>
      <c r="K59" s="919"/>
      <c r="L59" s="56">
        <f>SUM(L50:L58)</f>
        <v>0</v>
      </c>
    </row>
    <row r="60" spans="1:12" ht="21.75" customHeight="1" x14ac:dyDescent="0.25">
      <c r="A60" s="20"/>
      <c r="B60" s="920"/>
      <c r="C60" s="920"/>
      <c r="D60" s="920"/>
      <c r="E60" s="920"/>
      <c r="F60" s="920"/>
      <c r="G60" s="920"/>
      <c r="H60" s="920"/>
      <c r="I60" s="920"/>
      <c r="J60" s="920"/>
      <c r="K60" s="920"/>
      <c r="L60" s="920"/>
    </row>
    <row r="61" spans="1:12" ht="21.75" customHeight="1" x14ac:dyDescent="0.25">
      <c r="A61" s="20"/>
      <c r="B61" s="1012" t="s">
        <v>163</v>
      </c>
      <c r="C61" s="1012"/>
      <c r="D61" s="1012"/>
      <c r="E61" s="1012"/>
      <c r="F61" s="1012"/>
      <c r="G61" s="1012"/>
      <c r="H61" s="1012"/>
      <c r="I61" s="1012"/>
      <c r="J61" s="1012"/>
      <c r="K61" s="1012"/>
      <c r="L61" s="1012"/>
    </row>
    <row r="62" spans="1:12" ht="21.75" customHeight="1" x14ac:dyDescent="0.25">
      <c r="A62" s="20"/>
      <c r="B62" s="67" t="s">
        <v>164</v>
      </c>
      <c r="C62" s="925" t="s">
        <v>165</v>
      </c>
      <c r="D62" s="925"/>
      <c r="E62" s="925"/>
      <c r="F62" s="925"/>
      <c r="G62" s="925"/>
      <c r="H62" s="925"/>
      <c r="I62" s="925"/>
      <c r="J62" s="925"/>
      <c r="K62" s="68">
        <f>K36</f>
        <v>0.27948240000000002</v>
      </c>
      <c r="L62" s="69">
        <f>K62*L29</f>
        <v>31.696098984000002</v>
      </c>
    </row>
    <row r="63" spans="1:12" ht="21.75" customHeight="1" x14ac:dyDescent="0.25">
      <c r="A63" s="20"/>
      <c r="B63" s="67" t="s">
        <v>166</v>
      </c>
      <c r="C63" s="926" t="s">
        <v>167</v>
      </c>
      <c r="D63" s="926"/>
      <c r="E63" s="926"/>
      <c r="F63" s="926"/>
      <c r="G63" s="926"/>
      <c r="H63" s="926"/>
      <c r="I63" s="926"/>
      <c r="J63" s="926"/>
      <c r="K63" s="68">
        <f>K39</f>
        <v>0.3680000000000001</v>
      </c>
      <c r="L63" s="69">
        <f>K63*L29</f>
        <v>41.734880000000011</v>
      </c>
    </row>
    <row r="64" spans="1:12" ht="21.75" customHeight="1" x14ac:dyDescent="0.25">
      <c r="A64" s="20"/>
      <c r="B64" s="67" t="s">
        <v>168</v>
      </c>
      <c r="C64" s="926" t="s">
        <v>169</v>
      </c>
      <c r="D64" s="926"/>
      <c r="E64" s="926"/>
      <c r="F64" s="926"/>
      <c r="G64" s="926"/>
      <c r="H64" s="926"/>
      <c r="I64" s="926"/>
      <c r="J64" s="926"/>
      <c r="K64" s="926"/>
      <c r="L64" s="69">
        <f>L59</f>
        <v>0</v>
      </c>
    </row>
    <row r="65" spans="1:12" ht="21.75" customHeight="1" x14ac:dyDescent="0.25">
      <c r="A65" s="20"/>
      <c r="B65" s="70"/>
      <c r="C65" s="927" t="s">
        <v>162</v>
      </c>
      <c r="D65" s="927"/>
      <c r="E65" s="927"/>
      <c r="F65" s="927"/>
      <c r="G65" s="927"/>
      <c r="H65" s="927"/>
      <c r="I65" s="927"/>
      <c r="J65" s="927"/>
      <c r="K65" s="927"/>
      <c r="L65" s="71">
        <f>L62+L63+L64</f>
        <v>73.430978984000006</v>
      </c>
    </row>
    <row r="66" spans="1:12" s="73" customFormat="1" ht="21.75" customHeight="1" x14ac:dyDescent="0.25">
      <c r="A66" s="72"/>
      <c r="B66" s="915"/>
      <c r="C66" s="915"/>
      <c r="D66" s="915"/>
      <c r="E66" s="915"/>
      <c r="F66" s="915"/>
      <c r="G66" s="915"/>
      <c r="H66" s="915"/>
      <c r="I66" s="915"/>
      <c r="J66" s="915"/>
      <c r="K66" s="915"/>
      <c r="L66" s="915"/>
    </row>
    <row r="67" spans="1:12" ht="21.75" customHeight="1" x14ac:dyDescent="0.25">
      <c r="A67" s="72"/>
      <c r="B67" s="1010" t="s">
        <v>170</v>
      </c>
      <c r="C67" s="1010"/>
      <c r="D67" s="1010"/>
      <c r="E67" s="1010"/>
      <c r="F67" s="1010"/>
      <c r="G67" s="1010"/>
      <c r="H67" s="1010"/>
      <c r="I67" s="1010"/>
      <c r="J67" s="1010"/>
      <c r="K67" s="1010"/>
      <c r="L67" s="1010"/>
    </row>
    <row r="68" spans="1:12" ht="21.75" customHeight="1" x14ac:dyDescent="0.25">
      <c r="A68" s="72"/>
      <c r="B68" s="33" t="s">
        <v>120</v>
      </c>
      <c r="C68" s="74" t="s">
        <v>171</v>
      </c>
      <c r="D68" s="75"/>
      <c r="E68" s="3">
        <v>30</v>
      </c>
      <c r="F68" s="2" t="s">
        <v>172</v>
      </c>
      <c r="G68" s="928" t="s">
        <v>173</v>
      </c>
      <c r="H68" s="928"/>
      <c r="I68" s="1013">
        <f>OFICIAL!I66</f>
        <v>0.05</v>
      </c>
      <c r="J68" s="1013"/>
      <c r="K68" s="76">
        <v>0</v>
      </c>
      <c r="L68" s="66">
        <f t="shared" ref="L68:L74" si="1">K68*$L$29</f>
        <v>0</v>
      </c>
    </row>
    <row r="69" spans="1:12" ht="21.75" customHeight="1" x14ac:dyDescent="0.25">
      <c r="A69" s="72"/>
      <c r="B69" s="33" t="s">
        <v>122</v>
      </c>
      <c r="C69" s="930" t="s">
        <v>174</v>
      </c>
      <c r="D69" s="930"/>
      <c r="E69" s="930"/>
      <c r="F69" s="930"/>
      <c r="G69" s="930"/>
      <c r="H69" s="930"/>
      <c r="I69" s="930"/>
      <c r="J69" s="930"/>
      <c r="K69" s="76">
        <v>0</v>
      </c>
      <c r="L69" s="66">
        <f t="shared" si="1"/>
        <v>0</v>
      </c>
    </row>
    <row r="70" spans="1:12" ht="21.75" customHeight="1" x14ac:dyDescent="0.25">
      <c r="A70" s="72"/>
      <c r="B70" s="33" t="s">
        <v>125</v>
      </c>
      <c r="C70" s="930" t="s">
        <v>175</v>
      </c>
      <c r="D70" s="930"/>
      <c r="E70" s="930"/>
      <c r="F70" s="930"/>
      <c r="G70" s="930"/>
      <c r="H70" s="930"/>
      <c r="I70" s="930"/>
      <c r="J70" s="930"/>
      <c r="K70" s="77">
        <v>0</v>
      </c>
      <c r="L70" s="66">
        <f t="shared" si="1"/>
        <v>0</v>
      </c>
    </row>
    <row r="71" spans="1:12" ht="21.75" customHeight="1" x14ac:dyDescent="0.25">
      <c r="A71" s="72"/>
      <c r="B71" s="33" t="s">
        <v>130</v>
      </c>
      <c r="C71" s="930" t="s">
        <v>176</v>
      </c>
      <c r="D71" s="930"/>
      <c r="E71" s="930"/>
      <c r="F71" s="930"/>
      <c r="G71" s="930"/>
      <c r="H71" s="930"/>
      <c r="I71" s="930"/>
      <c r="J71" s="930"/>
      <c r="K71" s="76">
        <v>0</v>
      </c>
      <c r="L71" s="66">
        <f t="shared" si="1"/>
        <v>0</v>
      </c>
    </row>
    <row r="72" spans="1:12" ht="21.75" customHeight="1" x14ac:dyDescent="0.25">
      <c r="A72" s="72"/>
      <c r="B72" s="33" t="s">
        <v>133</v>
      </c>
      <c r="C72" s="930" t="s">
        <v>177</v>
      </c>
      <c r="D72" s="930"/>
      <c r="E72" s="930"/>
      <c r="F72" s="930"/>
      <c r="G72" s="930"/>
      <c r="H72" s="930"/>
      <c r="I72" s="930"/>
      <c r="J72" s="930"/>
      <c r="K72" s="77">
        <v>0</v>
      </c>
      <c r="L72" s="66">
        <f t="shared" si="1"/>
        <v>0</v>
      </c>
    </row>
    <row r="73" spans="1:12" ht="21.75" customHeight="1" x14ac:dyDescent="0.25">
      <c r="A73" s="72"/>
      <c r="B73" s="33" t="s">
        <v>135</v>
      </c>
      <c r="C73" s="930" t="s">
        <v>178</v>
      </c>
      <c r="D73" s="930"/>
      <c r="E73" s="930"/>
      <c r="F73" s="930"/>
      <c r="G73" s="930"/>
      <c r="H73" s="930"/>
      <c r="I73" s="930"/>
      <c r="J73" s="930"/>
      <c r="K73" s="77">
        <v>0</v>
      </c>
      <c r="L73" s="66">
        <f t="shared" si="1"/>
        <v>0</v>
      </c>
    </row>
    <row r="74" spans="1:12" ht="21.75" customHeight="1" x14ac:dyDescent="0.25">
      <c r="A74" s="72"/>
      <c r="B74" s="33" t="s">
        <v>153</v>
      </c>
      <c r="C74" s="930" t="s">
        <v>179</v>
      </c>
      <c r="D74" s="930"/>
      <c r="E74" s="930"/>
      <c r="F74" s="930"/>
      <c r="G74" s="930"/>
      <c r="H74" s="930"/>
      <c r="I74" s="930"/>
      <c r="J74" s="930"/>
      <c r="K74" s="77">
        <v>0</v>
      </c>
      <c r="L74" s="66">
        <f t="shared" si="1"/>
        <v>0</v>
      </c>
    </row>
    <row r="75" spans="1:12" ht="21.75" customHeight="1" x14ac:dyDescent="0.25">
      <c r="A75" s="72"/>
      <c r="B75" s="912" t="s">
        <v>162</v>
      </c>
      <c r="C75" s="912"/>
      <c r="D75" s="912"/>
      <c r="E75" s="912"/>
      <c r="F75" s="912"/>
      <c r="G75" s="912"/>
      <c r="H75" s="912"/>
      <c r="I75" s="912"/>
      <c r="J75" s="912"/>
      <c r="K75" s="78"/>
      <c r="L75" s="79">
        <f>L68+L69+L70+L71+L72+L73+L74</f>
        <v>0</v>
      </c>
    </row>
    <row r="76" spans="1:12" ht="21.75" customHeight="1" x14ac:dyDescent="0.25">
      <c r="A76" s="72"/>
      <c r="B76" s="915"/>
      <c r="C76" s="915"/>
      <c r="D76" s="915"/>
      <c r="E76" s="915"/>
      <c r="F76" s="915"/>
      <c r="G76" s="915"/>
      <c r="H76" s="915"/>
      <c r="I76" s="915"/>
      <c r="J76" s="915"/>
      <c r="K76" s="915"/>
      <c r="L76" s="915"/>
    </row>
    <row r="77" spans="1:12" ht="21.75" customHeight="1" x14ac:dyDescent="0.25">
      <c r="A77" s="72"/>
      <c r="B77" s="1010" t="s">
        <v>180</v>
      </c>
      <c r="C77" s="1010"/>
      <c r="D77" s="1010"/>
      <c r="E77" s="1010"/>
      <c r="F77" s="1010"/>
      <c r="G77" s="1010"/>
      <c r="H77" s="1010"/>
      <c r="I77" s="1010"/>
      <c r="J77" s="1010"/>
      <c r="K77" s="1010"/>
      <c r="L77" s="1010"/>
    </row>
    <row r="78" spans="1:12" ht="21.75" customHeight="1" x14ac:dyDescent="0.25">
      <c r="A78" s="72"/>
      <c r="B78" s="1010" t="s">
        <v>181</v>
      </c>
      <c r="C78" s="1010"/>
      <c r="D78" s="1010"/>
      <c r="E78" s="1010"/>
      <c r="F78" s="1010"/>
      <c r="G78" s="1010"/>
      <c r="H78" s="1010"/>
      <c r="I78" s="1010"/>
      <c r="J78" s="1010"/>
      <c r="K78" s="1010"/>
      <c r="L78" s="1010"/>
    </row>
    <row r="79" spans="1:12" ht="21.75" customHeight="1" x14ac:dyDescent="0.25">
      <c r="A79" s="72"/>
      <c r="B79" s="33" t="s">
        <v>120</v>
      </c>
      <c r="C79" s="928" t="s">
        <v>182</v>
      </c>
      <c r="D79" s="928"/>
      <c r="E79" s="928"/>
      <c r="F79" s="928"/>
      <c r="G79" s="928"/>
      <c r="H79" s="928"/>
      <c r="I79" s="928"/>
      <c r="J79" s="928"/>
      <c r="K79" s="77">
        <v>0</v>
      </c>
      <c r="L79" s="80">
        <f t="shared" ref="L79:L86" si="2">K79*$L$29</f>
        <v>0</v>
      </c>
    </row>
    <row r="80" spans="1:12" ht="21.75" customHeight="1" x14ac:dyDescent="0.25">
      <c r="A80" s="72"/>
      <c r="B80" s="33" t="s">
        <v>122</v>
      </c>
      <c r="C80" s="928" t="s">
        <v>183</v>
      </c>
      <c r="D80" s="928"/>
      <c r="E80" s="928"/>
      <c r="F80" s="2" t="s">
        <v>184</v>
      </c>
      <c r="G80" s="3">
        <f>OFICIAL!G76</f>
        <v>5</v>
      </c>
      <c r="H80" s="928" t="s">
        <v>185</v>
      </c>
      <c r="I80" s="928"/>
      <c r="J80" s="148">
        <f>OFICIAL!J76</f>
        <v>1</v>
      </c>
      <c r="K80" s="81">
        <v>0</v>
      </c>
      <c r="L80" s="80">
        <f t="shared" si="2"/>
        <v>0</v>
      </c>
    </row>
    <row r="81" spans="1:12" ht="21.75" customHeight="1" x14ac:dyDescent="0.25">
      <c r="A81" s="72"/>
      <c r="B81" s="33" t="s">
        <v>125</v>
      </c>
      <c r="C81" s="928" t="s">
        <v>186</v>
      </c>
      <c r="D81" s="928"/>
      <c r="E81" s="928"/>
      <c r="F81" s="2" t="s">
        <v>184</v>
      </c>
      <c r="G81" s="3">
        <f>OFICIAL!G77</f>
        <v>5</v>
      </c>
      <c r="H81" s="928" t="s">
        <v>185</v>
      </c>
      <c r="I81" s="928"/>
      <c r="J81" s="148">
        <f>OFICIAL!J77</f>
        <v>1</v>
      </c>
      <c r="K81" s="81">
        <v>0</v>
      </c>
      <c r="L81" s="80">
        <f t="shared" si="2"/>
        <v>0</v>
      </c>
    </row>
    <row r="82" spans="1:12" ht="21.75" customHeight="1" x14ac:dyDescent="0.25">
      <c r="A82" s="72"/>
      <c r="B82" s="33" t="s">
        <v>130</v>
      </c>
      <c r="C82" s="928" t="s">
        <v>187</v>
      </c>
      <c r="D82" s="928"/>
      <c r="E82" s="928"/>
      <c r="F82" s="2" t="s">
        <v>184</v>
      </c>
      <c r="G82" s="3">
        <f>OFICIAL!G78</f>
        <v>5</v>
      </c>
      <c r="H82" s="928" t="s">
        <v>185</v>
      </c>
      <c r="I82" s="928"/>
      <c r="J82" s="149">
        <f>OFICIAL!J78</f>
        <v>1.4999999999999999E-2</v>
      </c>
      <c r="K82" s="81">
        <v>0</v>
      </c>
      <c r="L82" s="80">
        <f t="shared" si="2"/>
        <v>0</v>
      </c>
    </row>
    <row r="83" spans="1:12" ht="21.75" customHeight="1" x14ac:dyDescent="0.25">
      <c r="A83" s="72"/>
      <c r="B83" s="33" t="s">
        <v>132</v>
      </c>
      <c r="C83" s="928" t="s">
        <v>188</v>
      </c>
      <c r="D83" s="928"/>
      <c r="E83" s="928"/>
      <c r="F83" s="2" t="s">
        <v>184</v>
      </c>
      <c r="G83" s="3">
        <f>OFICIAL!G79</f>
        <v>2</v>
      </c>
      <c r="H83" s="928" t="s">
        <v>185</v>
      </c>
      <c r="I83" s="928"/>
      <c r="J83" s="82">
        <f>OFICIAL!J79</f>
        <v>0.01</v>
      </c>
      <c r="K83" s="81">
        <v>0</v>
      </c>
      <c r="L83" s="80">
        <f t="shared" si="2"/>
        <v>0</v>
      </c>
    </row>
    <row r="84" spans="1:12" ht="21.75" customHeight="1" x14ac:dyDescent="0.25">
      <c r="A84" s="72"/>
      <c r="B84" s="33" t="s">
        <v>133</v>
      </c>
      <c r="C84" s="928" t="s">
        <v>189</v>
      </c>
      <c r="D84" s="928"/>
      <c r="E84" s="928"/>
      <c r="F84" s="2" t="s">
        <v>184</v>
      </c>
      <c r="G84" s="3">
        <f>OFICIAL!G80</f>
        <v>0</v>
      </c>
      <c r="H84" s="928" t="s">
        <v>185</v>
      </c>
      <c r="I84" s="928"/>
      <c r="J84" s="148">
        <f>OFICIAL!J80</f>
        <v>0.02</v>
      </c>
      <c r="K84" s="81">
        <v>0</v>
      </c>
      <c r="L84" s="80">
        <f t="shared" si="2"/>
        <v>0</v>
      </c>
    </row>
    <row r="85" spans="1:12" ht="21.75" customHeight="1" x14ac:dyDescent="0.25">
      <c r="A85" s="72"/>
      <c r="B85" s="33" t="s">
        <v>135</v>
      </c>
      <c r="C85" s="928" t="str">
        <f>OFICIAL!C81</f>
        <v>Outros (especificar)</v>
      </c>
      <c r="D85" s="928"/>
      <c r="E85" s="928"/>
      <c r="F85" s="2" t="s">
        <v>184</v>
      </c>
      <c r="G85" s="3">
        <f>OFICIAL!G81</f>
        <v>0</v>
      </c>
      <c r="H85" s="928" t="s">
        <v>185</v>
      </c>
      <c r="I85" s="928"/>
      <c r="J85" s="3">
        <f>OFICIAL!J81</f>
        <v>0</v>
      </c>
      <c r="K85" s="81">
        <v>0</v>
      </c>
      <c r="L85" s="80">
        <f t="shared" si="2"/>
        <v>0</v>
      </c>
    </row>
    <row r="86" spans="1:12" ht="21.75" customHeight="1" x14ac:dyDescent="0.25">
      <c r="A86" s="72"/>
      <c r="B86" s="33" t="s">
        <v>153</v>
      </c>
      <c r="C86" s="928" t="s">
        <v>190</v>
      </c>
      <c r="D86" s="928"/>
      <c r="E86" s="928"/>
      <c r="F86" s="928"/>
      <c r="G86" s="928"/>
      <c r="H86" s="928"/>
      <c r="I86" s="928"/>
      <c r="J86" s="928"/>
      <c r="K86" s="76">
        <v>0</v>
      </c>
      <c r="L86" s="80">
        <f t="shared" si="2"/>
        <v>0</v>
      </c>
    </row>
    <row r="87" spans="1:12" ht="21.75" customHeight="1" x14ac:dyDescent="0.25">
      <c r="A87" s="72"/>
      <c r="B87" s="912" t="s">
        <v>162</v>
      </c>
      <c r="C87" s="912"/>
      <c r="D87" s="912"/>
      <c r="E87" s="912"/>
      <c r="F87" s="912"/>
      <c r="G87" s="912"/>
      <c r="H87" s="912"/>
      <c r="I87" s="912"/>
      <c r="J87" s="912"/>
      <c r="K87" s="82">
        <f>SUM(K79:K86)</f>
        <v>0</v>
      </c>
      <c r="L87" s="83">
        <f>SUM(L79:L86)</f>
        <v>0</v>
      </c>
    </row>
    <row r="88" spans="1:12" ht="21.75" customHeight="1" x14ac:dyDescent="0.25">
      <c r="A88" s="72"/>
      <c r="B88" s="915"/>
      <c r="C88" s="915"/>
      <c r="D88" s="915"/>
      <c r="E88" s="915"/>
      <c r="F88" s="915"/>
      <c r="G88" s="915"/>
      <c r="H88" s="915"/>
      <c r="I88" s="915"/>
      <c r="J88" s="915"/>
      <c r="K88" s="915"/>
      <c r="L88" s="915"/>
    </row>
    <row r="89" spans="1:12" ht="21.75" customHeight="1" x14ac:dyDescent="0.25">
      <c r="A89" s="72"/>
      <c r="B89" s="1010" t="s">
        <v>191</v>
      </c>
      <c r="C89" s="1010"/>
      <c r="D89" s="1010"/>
      <c r="E89" s="1010"/>
      <c r="F89" s="1010"/>
      <c r="G89" s="1010"/>
      <c r="H89" s="1010"/>
      <c r="I89" s="1010"/>
      <c r="J89" s="1010"/>
      <c r="K89" s="1010"/>
      <c r="L89" s="1010"/>
    </row>
    <row r="90" spans="1:12" ht="21.75" customHeight="1" x14ac:dyDescent="0.25">
      <c r="A90" s="72"/>
      <c r="B90" s="33" t="s">
        <v>120</v>
      </c>
      <c r="C90" s="928" t="s">
        <v>192</v>
      </c>
      <c r="D90" s="928"/>
      <c r="E90" s="928"/>
      <c r="F90" s="928"/>
      <c r="G90" s="928"/>
      <c r="H90" s="928"/>
      <c r="I90" s="928"/>
      <c r="J90" s="928"/>
      <c r="K90" s="84"/>
      <c r="L90" s="83"/>
    </row>
    <row r="91" spans="1:12" ht="21.75" customHeight="1" x14ac:dyDescent="0.25">
      <c r="A91" s="72"/>
      <c r="B91" s="33" t="s">
        <v>122</v>
      </c>
      <c r="C91" s="928" t="s">
        <v>193</v>
      </c>
      <c r="D91" s="928"/>
      <c r="E91" s="928"/>
      <c r="F91" s="928"/>
      <c r="G91" s="928"/>
      <c r="H91" s="928"/>
      <c r="I91" s="928"/>
      <c r="J91" s="928"/>
      <c r="K91" s="84">
        <f>K90*K39</f>
        <v>0</v>
      </c>
      <c r="L91" s="83"/>
    </row>
    <row r="92" spans="1:12" ht="21.75" customHeight="1" x14ac:dyDescent="0.25">
      <c r="A92" s="72"/>
      <c r="B92" s="33"/>
      <c r="C92" s="928" t="s">
        <v>162</v>
      </c>
      <c r="D92" s="928"/>
      <c r="E92" s="928"/>
      <c r="F92" s="928"/>
      <c r="G92" s="928"/>
      <c r="H92" s="928"/>
      <c r="I92" s="928"/>
      <c r="J92" s="928"/>
      <c r="K92" s="2"/>
      <c r="L92" s="83">
        <f>SUM(L91+L90)</f>
        <v>0</v>
      </c>
    </row>
    <row r="93" spans="1:12" ht="21.75" customHeight="1" x14ac:dyDescent="0.25">
      <c r="A93" s="72"/>
      <c r="B93" s="915"/>
      <c r="C93" s="915"/>
      <c r="D93" s="915"/>
      <c r="E93" s="915"/>
      <c r="F93" s="915"/>
      <c r="G93" s="915"/>
      <c r="H93" s="915"/>
      <c r="I93" s="915"/>
      <c r="J93" s="915"/>
      <c r="K93" s="915"/>
      <c r="L93" s="915"/>
    </row>
    <row r="94" spans="1:12" ht="21.75" customHeight="1" x14ac:dyDescent="0.25">
      <c r="A94" s="72"/>
      <c r="B94" s="1010" t="s">
        <v>194</v>
      </c>
      <c r="C94" s="1010"/>
      <c r="D94" s="1010"/>
      <c r="E94" s="1010"/>
      <c r="F94" s="1010"/>
      <c r="G94" s="1010"/>
      <c r="H94" s="1010"/>
      <c r="I94" s="1010"/>
      <c r="J94" s="1010"/>
      <c r="K94" s="1010"/>
      <c r="L94" s="1010"/>
    </row>
    <row r="95" spans="1:12" ht="21.75" customHeight="1" x14ac:dyDescent="0.25">
      <c r="A95" s="72"/>
      <c r="B95" s="33" t="s">
        <v>195</v>
      </c>
      <c r="C95" s="931" t="s">
        <v>196</v>
      </c>
      <c r="D95" s="931"/>
      <c r="E95" s="931"/>
      <c r="F95" s="931"/>
      <c r="G95" s="931"/>
      <c r="H95" s="931"/>
      <c r="I95" s="931"/>
      <c r="J95" s="931"/>
      <c r="K95" s="2"/>
      <c r="L95" s="83">
        <f>L87</f>
        <v>0</v>
      </c>
    </row>
    <row r="96" spans="1:12" ht="21.75" customHeight="1" x14ac:dyDescent="0.25">
      <c r="A96" s="72"/>
      <c r="B96" s="33" t="s">
        <v>197</v>
      </c>
      <c r="C96" s="931" t="s">
        <v>198</v>
      </c>
      <c r="D96" s="931"/>
      <c r="E96" s="931"/>
      <c r="F96" s="931"/>
      <c r="G96" s="931"/>
      <c r="H96" s="931"/>
      <c r="I96" s="931"/>
      <c r="J96" s="931"/>
      <c r="K96" s="2"/>
      <c r="L96" s="83">
        <f>L92</f>
        <v>0</v>
      </c>
    </row>
    <row r="97" spans="1:12" ht="21.75" customHeight="1" x14ac:dyDescent="0.25">
      <c r="A97" s="72"/>
      <c r="B97" s="33"/>
      <c r="C97" s="928" t="s">
        <v>162</v>
      </c>
      <c r="D97" s="928"/>
      <c r="E97" s="928"/>
      <c r="F97" s="928"/>
      <c r="G97" s="928"/>
      <c r="H97" s="928"/>
      <c r="I97" s="928"/>
      <c r="J97" s="928"/>
      <c r="K97" s="2"/>
      <c r="L97" s="83">
        <f>L95+L96</f>
        <v>0</v>
      </c>
    </row>
    <row r="98" spans="1:12" ht="21.75" customHeight="1" x14ac:dyDescent="0.25">
      <c r="A98" s="72"/>
      <c r="B98" s="932"/>
      <c r="C98" s="932"/>
      <c r="D98" s="932"/>
      <c r="E98" s="932"/>
      <c r="F98" s="932"/>
      <c r="G98" s="932"/>
      <c r="H98" s="932"/>
      <c r="I98" s="932"/>
      <c r="J98" s="932"/>
      <c r="K98" s="932"/>
      <c r="L98" s="932"/>
    </row>
    <row r="99" spans="1:12" ht="21.75" customHeight="1" x14ac:dyDescent="0.25">
      <c r="A99" s="20"/>
      <c r="B99" s="933" t="s">
        <v>199</v>
      </c>
      <c r="C99" s="933"/>
      <c r="D99" s="933"/>
      <c r="E99" s="933"/>
      <c r="F99" s="933"/>
      <c r="G99" s="85"/>
      <c r="H99" s="85"/>
      <c r="I99" s="85"/>
      <c r="J99" s="85"/>
      <c r="K99" s="85"/>
      <c r="L99" s="86" t="s">
        <v>200</v>
      </c>
    </row>
    <row r="100" spans="1:12" ht="21.75" customHeight="1" x14ac:dyDescent="0.25">
      <c r="A100" s="20"/>
      <c r="B100" s="33" t="s">
        <v>120</v>
      </c>
      <c r="C100" s="1014" t="s">
        <v>201</v>
      </c>
      <c r="D100" s="1014"/>
      <c r="E100" s="1014"/>
      <c r="F100" s="1014"/>
      <c r="G100" s="1014"/>
      <c r="H100" s="1014"/>
      <c r="I100" s="1014"/>
      <c r="J100" s="1014"/>
      <c r="K100" s="1014"/>
      <c r="L100" s="34">
        <f>'DADOS INICIAIS'!J85</f>
        <v>0.16</v>
      </c>
    </row>
    <row r="101" spans="1:12" ht="21.75" customHeight="1" x14ac:dyDescent="0.25">
      <c r="A101" s="20"/>
      <c r="B101" s="33" t="s">
        <v>122</v>
      </c>
      <c r="C101" s="1015" t="s">
        <v>202</v>
      </c>
      <c r="D101" s="1015"/>
      <c r="E101" s="1015"/>
      <c r="F101" s="1015"/>
      <c r="G101" s="1015"/>
      <c r="H101" s="1015"/>
      <c r="I101" s="1015"/>
      <c r="J101" s="1015"/>
      <c r="K101" s="1015"/>
      <c r="L101" s="34">
        <v>0</v>
      </c>
    </row>
    <row r="102" spans="1:12" ht="21.75" customHeight="1" x14ac:dyDescent="0.25">
      <c r="A102" s="20"/>
      <c r="B102" s="912" t="s">
        <v>125</v>
      </c>
      <c r="C102" s="1016" t="s">
        <v>136</v>
      </c>
      <c r="D102" s="1016"/>
      <c r="E102" s="935">
        <f>OFICIAL!E98</f>
        <v>0</v>
      </c>
      <c r="F102" s="935"/>
      <c r="G102" s="935"/>
      <c r="H102" s="935"/>
      <c r="I102" s="935"/>
      <c r="J102" s="935"/>
      <c r="K102" s="935"/>
      <c r="L102" s="34">
        <f>OFICIAL!L98</f>
        <v>0</v>
      </c>
    </row>
    <row r="103" spans="1:12" ht="21.75" customHeight="1" x14ac:dyDescent="0.25">
      <c r="A103" s="20"/>
      <c r="B103" s="912"/>
      <c r="C103" s="1016"/>
      <c r="D103" s="1016"/>
      <c r="E103" s="936" t="str">
        <f>OFICIAL!E99</f>
        <v>--</v>
      </c>
      <c r="F103" s="936"/>
      <c r="G103" s="936"/>
      <c r="H103" s="936"/>
      <c r="I103" s="936"/>
      <c r="J103" s="936"/>
      <c r="K103" s="936"/>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0.16</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37" t="s">
        <v>205</v>
      </c>
      <c r="C106" s="937"/>
      <c r="D106" s="937"/>
      <c r="E106" s="937"/>
      <c r="F106" s="937"/>
      <c r="G106" s="937"/>
      <c r="H106" s="937"/>
      <c r="I106" s="937"/>
      <c r="J106" s="937"/>
      <c r="K106" s="937"/>
      <c r="L106" s="937"/>
    </row>
    <row r="107" spans="1:12" ht="21.75" customHeight="1" x14ac:dyDescent="0.25">
      <c r="A107" s="72"/>
      <c r="B107" s="938" t="s">
        <v>206</v>
      </c>
      <c r="C107" s="938"/>
      <c r="D107" s="938"/>
      <c r="E107" s="938"/>
      <c r="F107" s="938"/>
      <c r="G107" s="938"/>
      <c r="H107" s="938"/>
      <c r="I107" s="938"/>
      <c r="J107" s="938"/>
      <c r="K107" s="938"/>
      <c r="L107" s="86" t="s">
        <v>200</v>
      </c>
    </row>
    <row r="108" spans="1:12" ht="21.75" customHeight="1" x14ac:dyDescent="0.25">
      <c r="A108" s="72"/>
      <c r="B108" s="89" t="s">
        <v>120</v>
      </c>
      <c r="C108" s="939" t="s">
        <v>119</v>
      </c>
      <c r="D108" s="939"/>
      <c r="E108" s="939"/>
      <c r="F108" s="939"/>
      <c r="G108" s="939"/>
      <c r="H108" s="939"/>
      <c r="I108" s="939"/>
      <c r="J108" s="939"/>
      <c r="K108" s="939"/>
      <c r="L108" s="34">
        <f>L29</f>
        <v>113.41</v>
      </c>
    </row>
    <row r="109" spans="1:12" ht="21.75" customHeight="1" x14ac:dyDescent="0.25">
      <c r="A109" s="72"/>
      <c r="B109" s="89" t="s">
        <v>122</v>
      </c>
      <c r="C109" s="939" t="s">
        <v>207</v>
      </c>
      <c r="D109" s="939"/>
      <c r="E109" s="939"/>
      <c r="F109" s="939"/>
      <c r="G109" s="939"/>
      <c r="H109" s="939"/>
      <c r="I109" s="939"/>
      <c r="J109" s="939"/>
      <c r="K109" s="939"/>
      <c r="L109" s="34">
        <f>L65</f>
        <v>73.430978984000006</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0.16</v>
      </c>
    </row>
    <row r="113" spans="1:13" ht="21.75" customHeight="1" x14ac:dyDescent="0.25">
      <c r="A113" s="20"/>
      <c r="B113" s="938" t="s">
        <v>209</v>
      </c>
      <c r="C113" s="938"/>
      <c r="D113" s="938"/>
      <c r="E113" s="938"/>
      <c r="F113" s="938"/>
      <c r="G113" s="938"/>
      <c r="H113" s="938"/>
      <c r="I113" s="938"/>
      <c r="J113" s="938"/>
      <c r="K113" s="938"/>
      <c r="L113" s="88">
        <f>SUM(L108:L112)</f>
        <v>187.000978984</v>
      </c>
    </row>
    <row r="114" spans="1:13" ht="21.75" customHeight="1" x14ac:dyDescent="0.25">
      <c r="A114" s="20"/>
      <c r="B114" s="940"/>
      <c r="C114" s="940"/>
      <c r="D114" s="940"/>
      <c r="E114" s="940"/>
      <c r="F114" s="940"/>
      <c r="G114" s="940"/>
      <c r="H114" s="940"/>
      <c r="I114" s="940"/>
      <c r="J114" s="940"/>
      <c r="K114" s="940"/>
      <c r="L114" s="940"/>
    </row>
    <row r="115" spans="1:13" ht="21.75" customHeight="1" x14ac:dyDescent="0.25">
      <c r="A115" s="20"/>
      <c r="B115" s="938" t="s">
        <v>210</v>
      </c>
      <c r="C115" s="938"/>
      <c r="D115" s="938"/>
      <c r="E115" s="938"/>
      <c r="F115" s="938"/>
      <c r="G115" s="938"/>
      <c r="H115" s="938"/>
      <c r="I115" s="938"/>
      <c r="J115" s="938"/>
      <c r="K115" s="938"/>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11.220058739039999</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13.459208461394418</v>
      </c>
    </row>
    <row r="118" spans="1:13" ht="21.75" customHeight="1" x14ac:dyDescent="0.25">
      <c r="A118" s="20"/>
      <c r="B118" s="941" t="s">
        <v>125</v>
      </c>
      <c r="C118" s="22" t="s">
        <v>213</v>
      </c>
      <c r="D118" s="22"/>
      <c r="E118" s="22"/>
      <c r="F118" s="22"/>
      <c r="G118" s="22"/>
      <c r="H118" s="22"/>
      <c r="I118" s="22"/>
      <c r="J118" s="92" t="s">
        <v>60</v>
      </c>
      <c r="K118" s="942">
        <f>SUM(J119:J121)</f>
        <v>9.6500000000000002E-2</v>
      </c>
      <c r="L118" s="943">
        <f>K118*L125</f>
        <v>22.608902885221827</v>
      </c>
    </row>
    <row r="119" spans="1:13" ht="21.75" customHeight="1" x14ac:dyDescent="0.25">
      <c r="A119" s="20"/>
      <c r="B119" s="941"/>
      <c r="C119" s="37"/>
      <c r="D119" s="944" t="s">
        <v>214</v>
      </c>
      <c r="E119" s="944"/>
      <c r="F119" s="944"/>
      <c r="G119" s="93" t="s">
        <v>215</v>
      </c>
      <c r="H119" s="94"/>
      <c r="I119" s="94"/>
      <c r="J119" s="95">
        <f>'DADOS INICIAIS'!H96</f>
        <v>1.6500000000000001E-2</v>
      </c>
      <c r="K119" s="942"/>
      <c r="L119" s="943"/>
    </row>
    <row r="120" spans="1:13" ht="21.75" customHeight="1" x14ac:dyDescent="0.25">
      <c r="A120" s="20"/>
      <c r="B120" s="941"/>
      <c r="C120" s="20"/>
      <c r="D120" s="20"/>
      <c r="E120" s="20"/>
      <c r="F120" s="20"/>
      <c r="G120" s="93" t="s">
        <v>216</v>
      </c>
      <c r="H120" s="94"/>
      <c r="I120" s="94"/>
      <c r="J120" s="95">
        <f>'DADOS INICIAIS'!H97</f>
        <v>0.03</v>
      </c>
      <c r="K120" s="942"/>
      <c r="L120" s="943"/>
    </row>
    <row r="121" spans="1:13" ht="21.75" customHeight="1" x14ac:dyDescent="0.25">
      <c r="A121" s="20"/>
      <c r="B121" s="941"/>
      <c r="C121" s="20"/>
      <c r="D121" s="944" t="s">
        <v>217</v>
      </c>
      <c r="E121" s="944"/>
      <c r="F121" s="944"/>
      <c r="G121" s="93" t="s">
        <v>218</v>
      </c>
      <c r="H121" s="94"/>
      <c r="I121" s="94"/>
      <c r="J121" s="95">
        <f>'DADOS INICIAIS'!H98</f>
        <v>0.05</v>
      </c>
      <c r="K121" s="942"/>
      <c r="L121" s="943"/>
      <c r="M121" s="96"/>
    </row>
    <row r="122" spans="1:13" s="73" customFormat="1" ht="21.75" customHeight="1" x14ac:dyDescent="0.25">
      <c r="A122" s="72"/>
      <c r="B122" s="21" t="s">
        <v>219</v>
      </c>
      <c r="C122" s="24"/>
      <c r="D122" s="24"/>
      <c r="E122" s="24"/>
      <c r="F122" s="24"/>
      <c r="G122" s="24"/>
      <c r="H122" s="24"/>
      <c r="I122" s="24"/>
      <c r="J122" s="97"/>
      <c r="K122" s="97"/>
      <c r="L122" s="88">
        <f>SUM(L116:L118)</f>
        <v>47.288170085656247</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45" t="s">
        <v>221</v>
      </c>
      <c r="C125" s="945"/>
      <c r="D125" s="945"/>
      <c r="E125" s="945"/>
      <c r="F125" s="945"/>
      <c r="G125" s="945"/>
      <c r="H125" s="945"/>
      <c r="I125" s="99"/>
      <c r="J125" s="99"/>
      <c r="K125" s="99"/>
      <c r="L125" s="100">
        <f>(L113+L116+L117)/(1-K118)</f>
        <v>234.28914906965625</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46" t="s">
        <v>285</v>
      </c>
      <c r="C127" s="946"/>
      <c r="D127" s="946"/>
      <c r="E127" s="946"/>
      <c r="F127" s="946"/>
      <c r="G127" s="946"/>
      <c r="H127" s="946"/>
      <c r="I127" s="946"/>
      <c r="J127" s="946"/>
      <c r="K127" s="946"/>
      <c r="L127" s="946"/>
    </row>
    <row r="128" spans="1:13" ht="57" customHeight="1" x14ac:dyDescent="0.25">
      <c r="A128" s="20"/>
      <c r="B128" s="947" t="s">
        <v>223</v>
      </c>
      <c r="C128" s="947"/>
      <c r="D128" s="947"/>
      <c r="E128" s="948" t="s">
        <v>224</v>
      </c>
      <c r="F128" s="948"/>
      <c r="G128" s="948" t="s">
        <v>225</v>
      </c>
      <c r="H128" s="948"/>
      <c r="I128" s="948" t="s">
        <v>226</v>
      </c>
      <c r="J128" s="948"/>
      <c r="K128" s="102" t="s">
        <v>227</v>
      </c>
      <c r="L128" s="103" t="s">
        <v>228</v>
      </c>
    </row>
    <row r="129" spans="1:12" ht="21.75" customHeight="1" x14ac:dyDescent="0.25">
      <c r="A129" s="20"/>
      <c r="B129" s="950" t="s">
        <v>301</v>
      </c>
      <c r="C129" s="950"/>
      <c r="D129" s="950"/>
      <c r="E129" s="951">
        <f>L125</f>
        <v>234.28914906965625</v>
      </c>
      <c r="F129" s="951"/>
      <c r="G129" s="952">
        <v>1</v>
      </c>
      <c r="H129" s="952"/>
      <c r="I129" s="951">
        <f>G129*E129</f>
        <v>234.28914906965625</v>
      </c>
      <c r="J129" s="951"/>
      <c r="K129" s="104">
        <f>L12</f>
        <v>1</v>
      </c>
      <c r="L129" s="105">
        <f>ROUND(K129*I129,2)</f>
        <v>234.29</v>
      </c>
    </row>
    <row r="130" spans="1:12" ht="21.75" customHeight="1" x14ac:dyDescent="0.25">
      <c r="A130" s="20"/>
      <c r="B130" s="949" t="s">
        <v>302</v>
      </c>
      <c r="C130" s="949"/>
      <c r="D130" s="949"/>
      <c r="E130" s="949"/>
      <c r="F130" s="949"/>
      <c r="G130" s="949"/>
      <c r="H130" s="949"/>
      <c r="I130" s="949"/>
      <c r="J130" s="949"/>
      <c r="K130" s="949"/>
      <c r="L130" s="106">
        <f>L129</f>
        <v>234.29</v>
      </c>
    </row>
    <row r="131" spans="1:12" ht="21.75" customHeight="1" x14ac:dyDescent="0.25">
      <c r="A131" s="20"/>
      <c r="B131" s="949" t="s">
        <v>303</v>
      </c>
      <c r="C131" s="949"/>
      <c r="D131" s="949"/>
      <c r="E131" s="949"/>
      <c r="F131" s="949"/>
      <c r="G131" s="949"/>
      <c r="H131" s="949"/>
      <c r="I131" s="949"/>
      <c r="J131" s="949"/>
      <c r="K131" s="949"/>
      <c r="L131" s="106">
        <f>L130/220</f>
        <v>1.0649545454545455</v>
      </c>
    </row>
    <row r="132" spans="1:12" ht="21.75" customHeight="1" x14ac:dyDescent="0.25">
      <c r="A132" s="20"/>
      <c r="B132" s="1017"/>
      <c r="C132" s="1017"/>
      <c r="D132" s="1017"/>
      <c r="E132" s="1017"/>
      <c r="F132" s="1017"/>
      <c r="G132" s="1017"/>
      <c r="H132" s="1017"/>
      <c r="I132" s="1017"/>
      <c r="J132" s="1017"/>
      <c r="K132" s="1017"/>
      <c r="L132" s="165"/>
    </row>
    <row r="133" spans="1:12" ht="21.75" customHeight="1" x14ac:dyDescent="0.25">
      <c r="A133" s="20"/>
      <c r="B133" s="1017"/>
      <c r="C133" s="1017"/>
      <c r="D133" s="1017"/>
      <c r="E133" s="1017"/>
      <c r="F133" s="1017"/>
      <c r="G133" s="1017"/>
      <c r="H133" s="1017"/>
      <c r="I133" s="1017"/>
      <c r="J133" s="1017"/>
      <c r="K133" s="1017"/>
      <c r="L133" s="165"/>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 ref="B106:L106"/>
    <mergeCell ref="B107:K107"/>
    <mergeCell ref="C108:K108"/>
    <mergeCell ref="C109:K109"/>
    <mergeCell ref="B113:K113"/>
    <mergeCell ref="B114:L114"/>
    <mergeCell ref="B115:K115"/>
    <mergeCell ref="B118:B121"/>
    <mergeCell ref="K118:K121"/>
    <mergeCell ref="L118:L121"/>
    <mergeCell ref="D119:F119"/>
    <mergeCell ref="D121:F121"/>
    <mergeCell ref="C95:J95"/>
    <mergeCell ref="C96:J96"/>
    <mergeCell ref="C97:J97"/>
    <mergeCell ref="B98:L98"/>
    <mergeCell ref="B99:F99"/>
    <mergeCell ref="C100:K100"/>
    <mergeCell ref="C101:K101"/>
    <mergeCell ref="B102:B103"/>
    <mergeCell ref="C102:D103"/>
    <mergeCell ref="E102:K102"/>
    <mergeCell ref="E103:K103"/>
    <mergeCell ref="C86:J86"/>
    <mergeCell ref="B87:J87"/>
    <mergeCell ref="B88:L88"/>
    <mergeCell ref="B89:L89"/>
    <mergeCell ref="C90:J90"/>
    <mergeCell ref="C91:J91"/>
    <mergeCell ref="C92:J92"/>
    <mergeCell ref="B93:L93"/>
    <mergeCell ref="B94:L94"/>
    <mergeCell ref="C81:E81"/>
    <mergeCell ref="H81:I81"/>
    <mergeCell ref="C82:E82"/>
    <mergeCell ref="H82:I82"/>
    <mergeCell ref="C83:E83"/>
    <mergeCell ref="H83:I83"/>
    <mergeCell ref="C84:E84"/>
    <mergeCell ref="H84:I84"/>
    <mergeCell ref="C85:E85"/>
    <mergeCell ref="H85:I85"/>
    <mergeCell ref="C72:J72"/>
    <mergeCell ref="C73:J73"/>
    <mergeCell ref="C74:J74"/>
    <mergeCell ref="B75:J75"/>
    <mergeCell ref="B76:L76"/>
    <mergeCell ref="B77:L77"/>
    <mergeCell ref="B78:L78"/>
    <mergeCell ref="C79:J79"/>
    <mergeCell ref="C80:E80"/>
    <mergeCell ref="H80:I80"/>
    <mergeCell ref="C64:K64"/>
    <mergeCell ref="C65:K65"/>
    <mergeCell ref="B66:L66"/>
    <mergeCell ref="B67:L67"/>
    <mergeCell ref="G68:H68"/>
    <mergeCell ref="I68:J68"/>
    <mergeCell ref="C69:J69"/>
    <mergeCell ref="C70:J70"/>
    <mergeCell ref="C71:J71"/>
    <mergeCell ref="C55:K55"/>
    <mergeCell ref="C56:K56"/>
    <mergeCell ref="C57:K57"/>
    <mergeCell ref="C58:K58"/>
    <mergeCell ref="C59:K59"/>
    <mergeCell ref="B60:L60"/>
    <mergeCell ref="B61:L61"/>
    <mergeCell ref="C62:J62"/>
    <mergeCell ref="C63:J63"/>
    <mergeCell ref="C46:F46"/>
    <mergeCell ref="I46:J46"/>
    <mergeCell ref="B48:L48"/>
    <mergeCell ref="B49:L49"/>
    <mergeCell ref="C50:K50"/>
    <mergeCell ref="C51:K51"/>
    <mergeCell ref="C52:K52"/>
    <mergeCell ref="C53:K53"/>
    <mergeCell ref="C54:K54"/>
    <mergeCell ref="C36:J36"/>
    <mergeCell ref="B37:L37"/>
    <mergeCell ref="B38:L38"/>
    <mergeCell ref="C40:J40"/>
    <mergeCell ref="C41:J41"/>
    <mergeCell ref="C42:J42"/>
    <mergeCell ref="C43:J43"/>
    <mergeCell ref="C44:J44"/>
    <mergeCell ref="C45:J45"/>
    <mergeCell ref="C27:K27"/>
    <mergeCell ref="C28:K28"/>
    <mergeCell ref="B29:F29"/>
    <mergeCell ref="B30:L30"/>
    <mergeCell ref="B31:L31"/>
    <mergeCell ref="B32:L32"/>
    <mergeCell ref="C33:J33"/>
    <mergeCell ref="C34:J34"/>
    <mergeCell ref="C35:J35"/>
    <mergeCell ref="C8:F8"/>
    <mergeCell ref="G8:L8"/>
    <mergeCell ref="B14:L14"/>
    <mergeCell ref="C18:K18"/>
    <mergeCell ref="B20:K20"/>
    <mergeCell ref="B23:B24"/>
    <mergeCell ref="L23:L24"/>
    <mergeCell ref="C25:K25"/>
    <mergeCell ref="C26:K26"/>
    <mergeCell ref="B1:J1"/>
    <mergeCell ref="K1:L6"/>
    <mergeCell ref="B2:D2"/>
    <mergeCell ref="E2:J2"/>
    <mergeCell ref="B3:D3"/>
    <mergeCell ref="E3:J3"/>
    <mergeCell ref="B4:D4"/>
    <mergeCell ref="E4:F4"/>
    <mergeCell ref="I4:J4"/>
    <mergeCell ref="B6:D6"/>
    <mergeCell ref="E6:J6"/>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2a275f7-2134-49b0-af79-1e7aafbe977d" xsi:nil="true"/>
    <lcf76f155ced4ddcb4097134ff3c332f xmlns="1d2ab21d-0e01-4cd7-967e-e16d1f8fb22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713789042622C419C1AE5F698B1DC17" ma:contentTypeVersion="14" ma:contentTypeDescription="Crie um novo documento." ma:contentTypeScope="" ma:versionID="ba6b4eddbd35ef42c0ddd743be458ee7">
  <xsd:schema xmlns:xsd="http://www.w3.org/2001/XMLSchema" xmlns:xs="http://www.w3.org/2001/XMLSchema" xmlns:p="http://schemas.microsoft.com/office/2006/metadata/properties" xmlns:ns2="1d2ab21d-0e01-4cd7-967e-e16d1f8fb22e" xmlns:ns3="02a275f7-2134-49b0-af79-1e7aafbe977d" targetNamespace="http://schemas.microsoft.com/office/2006/metadata/properties" ma:root="true" ma:fieldsID="abe4fcc435ca7a6f0c3c0c38c1e3045f" ns2:_="" ns3:_="">
    <xsd:import namespace="1d2ab21d-0e01-4cd7-967e-e16d1f8fb22e"/>
    <xsd:import namespace="02a275f7-2134-49b0-af79-1e7aafbe977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DateTaken"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2ab21d-0e01-4cd7-967e-e16d1f8fb2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bbb0a7e8-13cc-4f9e-86a5-04ec5dc485d3"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a275f7-2134-49b0-af79-1e7aafbe977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187f160b-0b7e-4297-8e16-b9d5eba94a12}" ma:internalName="TaxCatchAll" ma:showField="CatchAllData" ma:web="02a275f7-2134-49b0-af79-1e7aafbe977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12AD27-177E-46ED-9FF1-305F061DBC7F}">
  <ds:schemaRefs>
    <ds:schemaRef ds:uri="http://schemas.microsoft.com/sharepoint/v3/contenttype/forms"/>
  </ds:schemaRefs>
</ds:datastoreItem>
</file>

<file path=customXml/itemProps2.xml><?xml version="1.0" encoding="utf-8"?>
<ds:datastoreItem xmlns:ds="http://schemas.openxmlformats.org/officeDocument/2006/customXml" ds:itemID="{E3966088-DC2A-4CB7-A06A-0D597A68EF10}">
  <ds:schemaRefs>
    <ds:schemaRef ds:uri="http://schemas.microsoft.com/office/2006/metadata/properties"/>
    <ds:schemaRef ds:uri="http://schemas.microsoft.com/office/infopath/2007/PartnerControls"/>
    <ds:schemaRef ds:uri="68138257-efd4-4ddb-b41e-3e3ca06db657"/>
    <ds:schemaRef ds:uri="ffee53ca-0bbf-4d82-8ea0-bc6e9f3a3636"/>
    <ds:schemaRef ds:uri="02a275f7-2134-49b0-af79-1e7aafbe977d"/>
    <ds:schemaRef ds:uri="1d2ab21d-0e01-4cd7-967e-e16d1f8fb22e"/>
  </ds:schemaRefs>
</ds:datastoreItem>
</file>

<file path=customXml/itemProps3.xml><?xml version="1.0" encoding="utf-8"?>
<ds:datastoreItem xmlns:ds="http://schemas.openxmlformats.org/officeDocument/2006/customXml" ds:itemID="{BF6FAA13-2537-437A-9C06-1EBA72970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2ab21d-0e01-4cd7-967e-e16d1f8fb22e"/>
    <ds:schemaRef ds:uri="02a275f7-2134-49b0-af79-1e7aafbe9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6</vt:i4>
      </vt:variant>
    </vt:vector>
  </HeadingPairs>
  <TitlesOfParts>
    <vt:vector size="19" baseType="lpstr">
      <vt:lpstr>DADOS INICIAIS</vt:lpstr>
      <vt:lpstr>OFICIAL</vt:lpstr>
      <vt:lpstr> Enc e Beneficios Oficial</vt:lpstr>
      <vt:lpstr>Hora extra Oficial</vt:lpstr>
      <vt:lpstr>AUXILIAR</vt:lpstr>
      <vt:lpstr> Enc e Beneficios Ajudante</vt:lpstr>
      <vt:lpstr>Hora extra Ajudante</vt:lpstr>
      <vt:lpstr>Equipamentos</vt:lpstr>
      <vt:lpstr>ENG. CIVIL</vt:lpstr>
      <vt:lpstr>ENG. ELETRICISTA</vt:lpstr>
      <vt:lpstr>PEDREIRO</vt:lpstr>
      <vt:lpstr>PINTOR</vt:lpstr>
      <vt:lpstr>RESUMO E PROPOSTA</vt:lpstr>
      <vt:lpstr>AUXILIAR!__xlnm_Print_Area_1_1</vt:lpstr>
      <vt:lpstr>'ENG. CIVIL'!__xlnm_Print_Area_1_1</vt:lpstr>
      <vt:lpstr>'ENG. ELETRICISTA'!__xlnm_Print_Area_1_1</vt:lpstr>
      <vt:lpstr>OFICIAL!__xlnm_Print_Area_1_1</vt:lpstr>
      <vt:lpstr>PEDREIRO!__xlnm_Print_Area_1_1</vt:lpstr>
      <vt:lpstr>PINTOR!__xlnm_Print_Area_1_1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Shigueru Tanaka</dc:creator>
  <cp:lastModifiedBy>Anderson Shigueru Tanaka</cp:lastModifiedBy>
  <dcterms:created xsi:type="dcterms:W3CDTF">2023-09-13T18:54:56Z</dcterms:created>
  <dcterms:modified xsi:type="dcterms:W3CDTF">2023-09-20T19:44:14Z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0x0101008713789042622C419C1AE5F698B1DC17</vt:lpwstr>
  </property>
  <property fmtid="{D5CDD505-2E9C-101B-9397-08002B2CF9AE}" pid="3" name="MediaServiceImageTags">
    <vt:lpwstr/>
  </property>
</Properties>
</file>